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worksheets/sheet1.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81" yWindow="90" windowWidth="12120" windowHeight="6030" activeTab="4"/>
  </bookViews>
  <sheets>
    <sheet name="Chart1" sheetId="1" r:id="rId1"/>
    <sheet name="Chart4" sheetId="2" r:id="rId2"/>
    <sheet name="Chart3" sheetId="3" r:id="rId3"/>
    <sheet name="Chart2" sheetId="4" r:id="rId4"/>
    <sheet name="Sheet1" sheetId="5" r:id="rId5"/>
    <sheet name="Sheet2" sheetId="6" r:id="rId6"/>
    <sheet name="Sheet3" sheetId="7" r:id="rId7"/>
  </sheets>
  <definedNames/>
  <calcPr fullCalcOnLoad="1"/>
</workbook>
</file>

<file path=xl/comments5.xml><?xml version="1.0" encoding="utf-8"?>
<comments xmlns="http://schemas.openxmlformats.org/spreadsheetml/2006/main">
  <authors>
    <author>Jaanus Silla</author>
  </authors>
  <commentList>
    <comment ref="I1" authorId="0">
      <text>
        <r>
          <rPr>
            <sz val="8"/>
            <rFont val="Tahoma"/>
            <family val="0"/>
          </rPr>
          <t xml:space="preserve">The studios mostly care to distribute. The currant trend is that 4 out of 5 films they distribute are produced by outside producer.  That is why we would be welcome at their office.
Model contains some hidden fields that are part of the formula, and are meant for operator use only.
KK -- million
$ - USD
GBO - Gross Box Office = USA and Canada sales of movie tickets
</t>
        </r>
      </text>
    </comment>
    <comment ref="D58" authorId="0">
      <text>
        <r>
          <rPr>
            <sz val="8"/>
            <rFont val="Tahoma"/>
            <family val="0"/>
          </rPr>
          <t>This is what the film is  projected to earn in Domestic Theatrical, as comparative pictures earned a double of this.  If we can produce our film for half of this amount we are doing well.
If you are certin your film will gross the same as the comparative pictures you don't need to divide by 2 as I have done. That means that budget will also double that may be a good thing.</t>
        </r>
      </text>
    </comment>
    <comment ref="C31" authorId="0">
      <text>
        <r>
          <rPr>
            <sz val="8"/>
            <rFont val="Tahoma"/>
            <family val="0"/>
          </rPr>
          <t>Set as half of the projected GBO</t>
        </r>
      </text>
    </comment>
    <comment ref="G34" authorId="0">
      <text>
        <r>
          <rPr>
            <sz val="8"/>
            <rFont val="Tahoma"/>
            <family val="0"/>
          </rPr>
          <t>There was one 10% contingency already in the budget, this is the second 10% unexpected costs estimate that is a standard to add.</t>
        </r>
      </text>
    </comment>
    <comment ref="C34" authorId="0">
      <text>
        <r>
          <rPr>
            <sz val="8"/>
            <rFont val="Tahoma"/>
            <family val="0"/>
          </rPr>
          <t>Budget + completion bond + 2nd contingency = negative cost</t>
        </r>
      </text>
    </comment>
    <comment ref="E34" authorId="0">
      <text>
        <r>
          <rPr>
            <sz val="8"/>
            <rFont val="Tahoma"/>
            <family val="0"/>
          </rPr>
          <t>Completion Bond expense is 6% of budget. 3%  is usually refunded after picture is delivered to the studio.</t>
        </r>
      </text>
    </comment>
    <comment ref="C48" authorId="0">
      <text>
        <r>
          <rPr>
            <sz val="8"/>
            <rFont val="Tahoma"/>
            <family val="0"/>
          </rPr>
          <t>Presales and gap financing comparative to negative cost.  This is what we will secure from bank to produce the picture.</t>
        </r>
      </text>
    </comment>
    <comment ref="C43" authorId="0">
      <text>
        <r>
          <rPr>
            <sz val="8"/>
            <rFont val="Tahoma"/>
            <family val="0"/>
          </rPr>
          <t>Standby LOCs (Letters of Credit)  are bankable to finance pictures production.</t>
        </r>
      </text>
    </comment>
    <comment ref="E46" authorId="0">
      <text>
        <r>
          <rPr>
            <sz val="8"/>
            <rFont val="Tahoma"/>
            <family val="0"/>
          </rPr>
          <t>This amount is missing from pre-sales.
We pre-sell as little as possible, as there is more to earn when selling in the back end.  That is why we engage also some gap financing.</t>
        </r>
      </text>
    </comment>
    <comment ref="A36" authorId="0">
      <text>
        <r>
          <rPr>
            <sz val="8"/>
            <rFont val="Tahoma"/>
            <family val="0"/>
          </rPr>
          <t>Foreign presales are a % of negative cost that changes from time to time.  US Network.TV and Premium.CBL is a set number that rarely changes.</t>
        </r>
      </text>
    </comment>
    <comment ref="C80" authorId="0">
      <text>
        <r>
          <rPr>
            <sz val="8"/>
            <rFont val="Tahoma"/>
            <family val="0"/>
          </rPr>
          <t>DT is all given to the Studio to:
1. Pay back the bank loan
2. Pay for world-wide distribution costs
3. Arrange aggressive media campaign
4. pay for movie theatres
5. To generate income give partial video</t>
        </r>
      </text>
    </comment>
    <comment ref="D61" authorId="0">
      <text>
        <r>
          <rPr>
            <sz val="8"/>
            <rFont val="Tahoma"/>
            <family val="0"/>
          </rPr>
          <t xml:space="preserve">This is what distributor actually earns from tickets sales. 
Picture earnings momentum is created by studio during domestic theatrical distribution.  
Distributor--
1. Pays back the bank loan
2. Pays for domestic in-house distribution costs
3. Arranges aggressive media campaign
4. Pays to movie theatres
</t>
        </r>
      </text>
    </comment>
    <comment ref="E51" authorId="0">
      <text>
        <r>
          <rPr>
            <sz val="8"/>
            <rFont val="Tahoma"/>
            <family val="0"/>
          </rPr>
          <t xml:space="preserve">Prints of the pictures inner negative are made according to the number of movie theatres it is going to be playing at, may make more later.
1,5 KK = 1200 prints </t>
        </r>
      </text>
    </comment>
    <comment ref="D51" authorId="0">
      <text>
        <r>
          <rPr>
            <sz val="8"/>
            <rFont val="Tahoma"/>
            <family val="0"/>
          </rPr>
          <t xml:space="preserve">Picture promotional campaign is divided in to printed media and television advertising. Printed includes outdoor advertising such as busses, buss-stops; and indoor: posters, magazines, and newspapers. Also electronic media as Radio and Internet must be paid attention to, but TV adds time purchase by target audience Reach and Frequency needs to use 80% of the advertising budget.  </t>
        </r>
      </text>
    </comment>
    <comment ref="E61" authorId="0">
      <text>
        <r>
          <rPr>
            <sz val="8"/>
            <rFont val="Tahoma"/>
            <family val="2"/>
          </rPr>
          <t xml:space="preserve">Video is shared by distributor actually grossing 35% and producer 20% the rest 45% is expenses. </t>
        </r>
      </text>
    </comment>
    <comment ref="E60" authorId="0">
      <text>
        <r>
          <rPr>
            <sz val="8"/>
            <rFont val="Tahoma"/>
            <family val="0"/>
          </rPr>
          <t>Need to offer 60% of total Video and keep 40%</t>
        </r>
      </text>
    </comment>
    <comment ref="D57" authorId="0">
      <text>
        <r>
          <rPr>
            <sz val="8"/>
            <rFont val="Tahoma"/>
            <family val="0"/>
          </rPr>
          <t>Gross Box Office same as Domestic Theatrical</t>
        </r>
      </text>
    </comment>
    <comment ref="F57" authorId="0">
      <text>
        <r>
          <rPr>
            <sz val="8"/>
            <rFont val="Tahoma"/>
            <family val="0"/>
          </rPr>
          <t>Approximately 140% of GBO
Sold as total package -- all rights for certain territory.</t>
        </r>
      </text>
    </comment>
    <comment ref="E57" authorId="0">
      <text>
        <r>
          <rPr>
            <sz val="8"/>
            <rFont val="Tahoma"/>
            <family val="0"/>
          </rPr>
          <t>3 times GBO</t>
        </r>
      </text>
    </comment>
    <comment ref="H57" authorId="0">
      <text>
        <r>
          <rPr>
            <sz val="8"/>
            <rFont val="Tahoma"/>
            <family val="2"/>
          </rPr>
          <t xml:space="preserve">Sound track
Novelisation
Live stage play
Merchandise
Music publishing
Internet
Planes
Ships at sea
Prison systems
Hotels
Computer games
Audio Books
</t>
        </r>
      </text>
    </comment>
    <comment ref="I57" authorId="0">
      <text>
        <r>
          <rPr>
            <sz val="8"/>
            <rFont val="Tahoma"/>
            <family val="0"/>
          </rPr>
          <t>Sequels
Prequels
TV-Spin offs
-- based upon the original work</t>
        </r>
      </text>
    </comment>
    <comment ref="G57" authorId="0">
      <text>
        <r>
          <rPr>
            <sz val="8"/>
            <rFont val="Tahoma"/>
            <family val="0"/>
          </rPr>
          <t>Premium Cable
Network Television
Syndication
Pay Per View</t>
        </r>
      </text>
    </comment>
    <comment ref="E79" authorId="0">
      <text>
        <r>
          <rPr>
            <sz val="8"/>
            <rFont val="Tahoma"/>
            <family val="0"/>
          </rPr>
          <t>Generally not used for calculating gross projections. Use this as a bonus to see the potential, as we don't know yet if we will be selling in many of these media windows.</t>
        </r>
      </text>
    </comment>
    <comment ref="E63" authorId="0">
      <text>
        <r>
          <rPr>
            <sz val="8"/>
            <rFont val="Tahoma"/>
            <family val="0"/>
          </rPr>
          <t>Need to offer 60% of total Video and keep 40%
To do this we keep Blockbuster Video and give away the rest.</t>
        </r>
      </text>
    </comment>
    <comment ref="E64" authorId="0">
      <text>
        <r>
          <rPr>
            <sz val="8"/>
            <rFont val="Tahoma"/>
            <family val="2"/>
          </rPr>
          <t xml:space="preserve">Video is shared by distributor actually grossing 35% and producer 20% the rest 45% is expenses. </t>
        </r>
      </text>
    </comment>
    <comment ref="H63" authorId="0">
      <text>
        <r>
          <rPr>
            <sz val="8"/>
            <rFont val="Tahoma"/>
            <family val="0"/>
          </rPr>
          <t>We receive 65% of total when sold to outside distributor.</t>
        </r>
      </text>
    </comment>
    <comment ref="G63" authorId="0">
      <text>
        <r>
          <rPr>
            <sz val="8"/>
            <rFont val="Tahoma"/>
            <family val="0"/>
          </rPr>
          <t>Syndication rights are sold for 7 years, then sold again for about same amount.
Premium Cable and Network TV are good to pre-sell, Left is syndication.</t>
        </r>
      </text>
    </comment>
    <comment ref="F63" authorId="0">
      <text>
        <r>
          <rPr>
            <sz val="8"/>
            <rFont val="Tahoma"/>
            <family val="0"/>
          </rPr>
          <t xml:space="preserve">Pre-sold foreign rights subtracted from Total foreign gross leaves us with the rest of the foreign territories gross. </t>
        </r>
      </text>
    </comment>
    <comment ref="D63" authorId="0">
      <text>
        <r>
          <rPr>
            <sz val="8"/>
            <rFont val="Tahoma"/>
            <family val="0"/>
          </rPr>
          <t>We give it all to the studio</t>
        </r>
      </text>
    </comment>
    <comment ref="I63" authorId="0">
      <text>
        <r>
          <rPr>
            <sz val="8"/>
            <rFont val="Tahoma"/>
            <family val="0"/>
          </rPr>
          <t>Above-the-Line Participation:
Back-end amount of producers gross reserved for major talent working on the picture</t>
        </r>
      </text>
    </comment>
    <comment ref="F46" authorId="0">
      <text>
        <r>
          <rPr>
            <sz val="8"/>
            <rFont val="Tahoma"/>
            <family val="0"/>
          </rPr>
          <t>The Total Secured Financing should be medium five figure amount larger then Negative Cost. This quotient is a % of negative cost set in i38.</t>
        </r>
      </text>
    </comment>
    <comment ref="G45" authorId="0">
      <text>
        <r>
          <rPr>
            <sz val="8"/>
            <rFont val="Tahoma"/>
            <family val="2"/>
          </rPr>
          <t>Set quotient by budget size:
10-20 KK = 4
20-30 KK = 2,5
30-40 KK = 1,8
40-50 KK = 0,9
50-60 KK = 0,4</t>
        </r>
      </text>
    </comment>
    <comment ref="I33" authorId="0">
      <text>
        <r>
          <rPr>
            <sz val="8"/>
            <rFont val="Tahoma"/>
            <family val="0"/>
          </rPr>
          <t xml:space="preserve">For example the Negative Cost is now 2 times less the gross potential, I am willing to take a bit more risk with this film I raise the budget by a certain %. </t>
        </r>
      </text>
    </comment>
    <comment ref="E45" authorId="0">
      <text>
        <r>
          <rPr>
            <sz val="8"/>
            <rFont val="Tahoma"/>
            <family val="0"/>
          </rPr>
          <t>When the gap is negative, we have pre-sold too much and also there is  no need to engage in gap financing, unless we decide to presell less and have 10-20% of the negative-cost  gap financed.</t>
        </r>
      </text>
    </comment>
    <comment ref="J63" authorId="0">
      <text>
        <r>
          <rPr>
            <sz val="8"/>
            <rFont val="Tahoma"/>
            <family val="2"/>
          </rPr>
          <t>% that is reserver for major talent out of the producers gross</t>
        </r>
      </text>
    </comment>
    <comment ref="C64" authorId="0">
      <text>
        <r>
          <rPr>
            <sz val="8"/>
            <rFont val="Tahoma"/>
            <family val="0"/>
          </rPr>
          <t>Producer's Gross
All items on this line +  
1. Product placement earnings
2. 50% Completion Bond return - first timer 40% return
3. Pay back Gap Financing</t>
        </r>
      </text>
    </comment>
    <comment ref="F60" authorId="0">
      <text>
        <r>
          <rPr>
            <sz val="8"/>
            <rFont val="Tahoma"/>
            <family val="0"/>
          </rPr>
          <t>Production Co. keeps it.</t>
        </r>
      </text>
    </comment>
    <comment ref="G60" authorId="0">
      <text>
        <r>
          <rPr>
            <sz val="8"/>
            <rFont val="Tahoma"/>
            <family val="0"/>
          </rPr>
          <t>Production Co. has presold most, and keeps the rest of the TV rights.</t>
        </r>
      </text>
    </comment>
    <comment ref="H84" authorId="0">
      <text>
        <r>
          <rPr>
            <sz val="8"/>
            <rFont val="Tahoma"/>
            <family val="0"/>
          </rPr>
          <t>Standard pre-sale % of negative cost polarized for each country. You should not change this unless you have firsthand primary source information!
The larger the budget the greater the % amount for presale -- That is one reason why budgets are inflated.</t>
        </r>
      </text>
    </comment>
    <comment ref="A85" authorId="0">
      <text>
        <r>
          <rPr>
            <sz val="8"/>
            <rFont val="Tahoma"/>
            <family val="0"/>
          </rPr>
          <t xml:space="preserve"> You should not change these numbers unless you know for sure!</t>
        </r>
      </text>
    </comment>
    <comment ref="G17" authorId="0">
      <text>
        <r>
          <rPr>
            <sz val="8"/>
            <rFont val="Tahoma"/>
            <family val="0"/>
          </rPr>
          <t>Out of 10 points
Average of line 7 + Talent</t>
        </r>
      </text>
    </comment>
    <comment ref="A17" authorId="0">
      <text>
        <r>
          <rPr>
            <sz val="8"/>
            <rFont val="Tahoma"/>
            <family val="0"/>
          </rPr>
          <t xml:space="preserve"> Dependant upon 
1. Following the industry standards
2. Target audience size (Family Films largest)
3. P &amp; A amount and how it is spent in media -- how much on tv advertising time purchase according to Reach of Frequency
4. The motivation (Above the line participation in the producers gross) of major talent
5. Story strength - all participants faith in a great project -- creating good word of mouth.
6. Avoiding unnecessary expenses -- Family comedies gross well also with no special effects
7. Budget and gross corollary rule -- The bigger the budget the bigger the return  10 KK too small, 80 KK gets large.</t>
        </r>
      </text>
    </comment>
    <comment ref="D126" authorId="0">
      <text>
        <r>
          <rPr>
            <sz val="8"/>
            <rFont val="Tahoma"/>
            <family val="2"/>
          </rPr>
          <t>2 for both sexes</t>
        </r>
        <r>
          <rPr>
            <sz val="8"/>
            <rFont val="Tahoma"/>
            <family val="0"/>
          </rPr>
          <t xml:space="preserve">
</t>
        </r>
      </text>
    </comment>
    <comment ref="D123" authorId="0">
      <text>
        <r>
          <rPr>
            <sz val="8"/>
            <rFont val="Tahoma"/>
            <family val="2"/>
          </rPr>
          <t>2 for both sexes</t>
        </r>
        <r>
          <rPr>
            <sz val="8"/>
            <rFont val="Tahoma"/>
            <family val="0"/>
          </rPr>
          <t xml:space="preserve">
</t>
        </r>
      </text>
    </comment>
    <comment ref="D129" authorId="0">
      <text>
        <r>
          <rPr>
            <sz val="8"/>
            <rFont val="Tahoma"/>
            <family val="2"/>
          </rPr>
          <t>2 for both sexes</t>
        </r>
        <r>
          <rPr>
            <sz val="8"/>
            <rFont val="Tahoma"/>
            <family val="0"/>
          </rPr>
          <t xml:space="preserve">
</t>
        </r>
      </text>
    </comment>
    <comment ref="D132" authorId="0">
      <text>
        <r>
          <rPr>
            <sz val="8"/>
            <rFont val="Tahoma"/>
            <family val="2"/>
          </rPr>
          <t>2 for both sexes</t>
        </r>
        <r>
          <rPr>
            <sz val="8"/>
            <rFont val="Tahoma"/>
            <family val="0"/>
          </rPr>
          <t xml:space="preserve">
</t>
        </r>
      </text>
    </comment>
    <comment ref="D135" authorId="0">
      <text>
        <r>
          <rPr>
            <sz val="8"/>
            <rFont val="Tahoma"/>
            <family val="2"/>
          </rPr>
          <t>2 for both sexes</t>
        </r>
        <r>
          <rPr>
            <sz val="8"/>
            <rFont val="Tahoma"/>
            <family val="0"/>
          </rPr>
          <t xml:space="preserve">
</t>
        </r>
      </text>
    </comment>
    <comment ref="I122" authorId="0">
      <text>
        <r>
          <rPr>
            <sz val="8"/>
            <rFont val="Tahoma"/>
            <family val="0"/>
          </rPr>
          <t>Shows what percentage of this age group would be likely to go see it.  10 = 100 %</t>
        </r>
      </text>
    </comment>
    <comment ref="J122" authorId="0">
      <text>
        <r>
          <rPr>
            <sz val="8"/>
            <rFont val="Tahoma"/>
            <family val="0"/>
          </rPr>
          <t>Audience Scores of 5 audiences =
# of years in this age group+  
One or both sexes x 5 +
Audience rating +
Audience attendance level (activity) +
Quantity % of this age group by people's registry 
total divided by 7</t>
        </r>
      </text>
    </comment>
    <comment ref="G122" authorId="0">
      <text>
        <r>
          <rPr>
            <sz val="8"/>
            <rFont val="Tahoma"/>
            <family val="0"/>
          </rPr>
          <t xml:space="preserve">Annual average of movie theater attendance  </t>
        </r>
      </text>
    </comment>
    <comment ref="H122" authorId="0">
      <text>
        <r>
          <rPr>
            <sz val="8"/>
            <rFont val="Tahoma"/>
            <family val="0"/>
          </rPr>
          <t>Size of audience groups in the US
According to family statistics in the US</t>
        </r>
      </text>
    </comment>
    <comment ref="C14" authorId="0">
      <text>
        <r>
          <rPr>
            <sz val="8"/>
            <rFont val="Tahoma"/>
            <family val="0"/>
          </rPr>
          <t>Is it a major acting talent driven picture?
How many A Stars do you have involved? 
1 Star = 5
3 Stars =10</t>
        </r>
      </text>
    </comment>
    <comment ref="G14" authorId="0">
      <text>
        <r>
          <rPr>
            <sz val="8"/>
            <rFont val="Tahoma"/>
            <family val="0"/>
          </rPr>
          <t># from 1-10 by the size of  negative cost
1.     ,3-1 KK
2.      1-3  KK
3.     3-10 KK
4.   10-20 KK
5.   20-30 KK 
6.   30-40 KK
7.    40-50 KK
8.    50-60 KK 
9.    60-70 KK
10. 70-100KK
Exists a budget-gross-corollary:  the larger the budget the greater the gross.  Under 20 KK picture may be difficult to pre-sell.  In a way it is easier to produce a high budget film.  Banks and studios also prefer the Large budgets, as this makes certain also the talent, and marketing publicity needs.</t>
        </r>
      </text>
    </comment>
    <comment ref="F14" authorId="0">
      <text>
        <r>
          <rPr>
            <sz val="8"/>
            <rFont val="Tahoma"/>
            <family val="0"/>
          </rPr>
          <t xml:space="preserve">  1. - Cares for the filmmaker
10. - Cares for the audience
1.  Independent art film
3.  Film with a lot of risky elements
5.  Half and half
7.  Mostly follows the standard
10. Studio formula film</t>
        </r>
      </text>
    </comment>
    <comment ref="H14" authorId="0">
      <text>
        <r>
          <rPr>
            <sz val="8"/>
            <rFont val="Tahoma"/>
            <family val="0"/>
          </rPr>
          <t>Shows what percentage of three major age group would be likely to go see it.  10 = 100 %
Detail below</t>
        </r>
      </text>
    </comment>
    <comment ref="D14" authorId="0">
      <text>
        <r>
          <rPr>
            <sz val="8"/>
            <rFont val="Tahoma"/>
            <family val="0"/>
          </rPr>
          <t>High Concept
Entertainment Power
Page Turner
Details =A85</t>
        </r>
      </text>
    </comment>
    <comment ref="E14" authorId="0">
      <text>
        <r>
          <rPr>
            <sz val="8"/>
            <rFont val="Tahoma"/>
            <family val="0"/>
          </rPr>
          <t>Story / Character Continuity
Story Wholeness
Visible Trailer Spots
Details =A85</t>
        </r>
      </text>
    </comment>
    <comment ref="A81" authorId="0">
      <text>
        <r>
          <rPr>
            <sz val="8"/>
            <rFont val="Tahoma"/>
            <family val="0"/>
          </rPr>
          <t xml:space="preserve">Includes DVD </t>
        </r>
      </text>
    </comment>
    <comment ref="E83" authorId="0">
      <text>
        <r>
          <rPr>
            <sz val="8"/>
            <rFont val="Tahoma"/>
            <family val="0"/>
          </rPr>
          <t>Video on Demand</t>
        </r>
      </text>
    </comment>
    <comment ref="E82" authorId="0">
      <text>
        <r>
          <rPr>
            <sz val="8"/>
            <rFont val="Tahoma"/>
            <family val="0"/>
          </rPr>
          <t>Pay Per View</t>
        </r>
      </text>
    </comment>
    <comment ref="C86" authorId="0">
      <text>
        <r>
          <rPr>
            <sz val="8"/>
            <rFont val="Tahoma"/>
            <family val="0"/>
          </rPr>
          <t>Usually 7 - being cautious here</t>
        </r>
      </text>
    </comment>
    <comment ref="C87" authorId="0">
      <text>
        <r>
          <rPr>
            <sz val="8"/>
            <rFont val="Tahoma"/>
            <family val="0"/>
          </rPr>
          <t>Usually 7 - being cautious here</t>
        </r>
      </text>
    </comment>
    <comment ref="I39" authorId="0">
      <text>
        <r>
          <rPr>
            <sz val="8"/>
            <rFont val="Tahoma"/>
            <family val="0"/>
          </rPr>
          <t>Probably not for another 20 years</t>
        </r>
      </text>
    </comment>
    <comment ref="D36" authorId="0">
      <text>
        <r>
          <rPr>
            <sz val="8"/>
            <rFont val="Tahoma"/>
            <family val="0"/>
          </rPr>
          <t xml:space="preserve">To cancel out a certain area I multiplied it's formula with 0. If you like to use other areas just delete the 0 </t>
        </r>
      </text>
    </comment>
    <comment ref="G109" authorId="0">
      <text>
        <r>
          <rPr>
            <sz val="8"/>
            <rFont val="Tahoma"/>
            <family val="0"/>
          </rPr>
          <t xml:space="preserve">Costumes needs, Accents, Set dressings, props, Set </t>
        </r>
      </text>
    </comment>
    <comment ref="I109" authorId="0">
      <text>
        <r>
          <rPr>
            <sz val="8"/>
            <rFont val="Tahoma"/>
            <family val="0"/>
          </rPr>
          <t>Geographical location for filming.
Does it have to be filmed in authentic distant location to make it work or in difficult situation like under water or in a jungle.</t>
        </r>
      </text>
    </comment>
    <comment ref="E109" authorId="0">
      <text>
        <r>
          <rPr>
            <sz val="8"/>
            <rFont val="Tahoma"/>
            <family val="0"/>
          </rPr>
          <t>Elaborate set construction and miniatures; advanced technology needs</t>
        </r>
      </text>
    </comment>
    <comment ref="C109" authorId="0">
      <text>
        <r>
          <rPr>
            <sz val="8"/>
            <rFont val="Tahoma"/>
            <family val="0"/>
          </rPr>
          <t>CGI (Computer Generated Imagery)</t>
        </r>
      </text>
    </comment>
    <comment ref="A18" authorId="0">
      <text>
        <r>
          <rPr>
            <sz val="8"/>
            <rFont val="Tahoma"/>
            <family val="0"/>
          </rPr>
          <t>Detail on line 90
Special Effects
Technicality
Period
Filming Location</t>
        </r>
      </text>
    </comment>
    <comment ref="D18" authorId="0">
      <text>
        <r>
          <rPr>
            <sz val="8"/>
            <rFont val="Tahoma"/>
            <family val="0"/>
          </rPr>
          <t>Lower is not necessarily better when budget reflects costs objectively. Lower # means just less work.  # from 1-10</t>
        </r>
      </text>
    </comment>
    <comment ref="C50" authorId="0">
      <text>
        <r>
          <rPr>
            <sz val="8"/>
            <rFont val="Tahoma"/>
            <family val="0"/>
          </rPr>
          <t>Expense for the studio:
Prints and advertising needs to be put up by a studio in range of $9,5 - 25 KK. This is not part of negative cost but a duty of the studio in exchange of certain distribution rights.</t>
        </r>
      </text>
    </comment>
    <comment ref="H52" authorId="0">
      <text>
        <r>
          <rPr>
            <sz val="8"/>
            <rFont val="Tahoma"/>
            <family val="2"/>
          </rPr>
          <t xml:space="preserve">Marketing third party products in the film. Advertising in the movie
(Coke, American Express, Kalev)
Usually additional earnings for Production Company. Can be engaged prior to principal photography. </t>
        </r>
        <r>
          <rPr>
            <b/>
            <sz val="8"/>
            <rFont val="Tahoma"/>
            <family val="0"/>
          </rPr>
          <t xml:space="preserve"> </t>
        </r>
        <r>
          <rPr>
            <sz val="8"/>
            <rFont val="Tahoma"/>
            <family val="2"/>
          </rPr>
          <t>Sometimes used to fill the budget gap.</t>
        </r>
      </text>
    </comment>
    <comment ref="I52" authorId="0">
      <text>
        <r>
          <rPr>
            <sz val="8"/>
            <rFont val="Tahoma"/>
            <family val="0"/>
          </rPr>
          <t>Merchandising
Toys by movie characters
New technologies
This also boosts the films brand, prior to release.</t>
        </r>
      </text>
    </comment>
    <comment ref="F53" authorId="0">
      <text>
        <r>
          <rPr>
            <sz val="8"/>
            <rFont val="Tahoma"/>
            <family val="0"/>
          </rPr>
          <t>Financed from the production budget for different target audience groups, and foreign markets. Not longer then 30 sec.</t>
        </r>
      </text>
    </comment>
    <comment ref="G53" authorId="0">
      <text>
        <r>
          <rPr>
            <sz val="8"/>
            <rFont val="Tahoma"/>
            <family val="0"/>
          </rPr>
          <t xml:space="preserve">1 min. intro of the picture shown in movie theatres.
Financed, and produced often 6 month in advance of the picture's completion. </t>
        </r>
      </text>
    </comment>
    <comment ref="J53" authorId="0">
      <text>
        <r>
          <rPr>
            <sz val="8"/>
            <rFont val="Tahoma"/>
            <family val="0"/>
          </rPr>
          <t xml:space="preserve">Major motion pictures can increase regions attractiveness and enliven its business.
A Region should do everything 
New Zealand </t>
        </r>
      </text>
    </comment>
    <comment ref="H54" authorId="0">
      <text>
        <r>
          <rPr>
            <sz val="8"/>
            <rFont val="Tahoma"/>
            <family val="0"/>
          </rPr>
          <t xml:space="preserve">Number shows how well product placements can be used in this film.
In how many places and for how long are the products visible?
Size of the company making the products.
Size of the release of the motion picture.
</t>
        </r>
      </text>
    </comment>
    <comment ref="I54" authorId="0">
      <text>
        <r>
          <rPr>
            <sz val="8"/>
            <rFont val="Tahoma"/>
            <family val="0"/>
          </rPr>
          <t>Number shows the amount of appropriate picture theamed products that  can be created and marketed.</t>
        </r>
      </text>
    </comment>
    <comment ref="G54" authorId="0">
      <text>
        <r>
          <rPr>
            <sz val="8"/>
            <rFont val="Tahoma"/>
            <family val="0"/>
          </rPr>
          <t xml:space="preserve">Scale of projected trailer appeal and trailer budget 
</t>
        </r>
      </text>
    </comment>
    <comment ref="F54" authorId="0">
      <text>
        <r>
          <rPr>
            <sz val="8"/>
            <rFont val="Tahoma"/>
            <family val="0"/>
          </rPr>
          <t>7 = 70% of the target audience is moved to go see it.
Forecast Reach and Frequency according to target audience.
How many people will see the ad how many times? 
Reach - % of target audience reached
Frequency - how many times person saw it
Must be at least 80% and  8 times
This is negotiated at the distribution mtg. with the studio.</t>
        </r>
      </text>
    </comment>
    <comment ref="J54" authorId="0">
      <text>
        <r>
          <rPr>
            <sz val="8"/>
            <rFont val="Tahoma"/>
            <family val="0"/>
          </rPr>
          <t>Does it have a positive message, that a town or region would like to attach to. That would be a win win situation.</t>
        </r>
      </text>
    </comment>
    <comment ref="C54" authorId="0">
      <text>
        <r>
          <rPr>
            <sz val="8"/>
            <rFont val="Tahoma"/>
            <family val="0"/>
          </rPr>
          <t>1-10  Average of all marketing areas
P&amp;A x 2 as it is most important in the formula</t>
        </r>
      </text>
    </comment>
    <comment ref="G50" authorId="0">
      <text>
        <r>
          <rPr>
            <sz val="8"/>
            <rFont val="Tahoma"/>
            <family val="0"/>
          </rPr>
          <t>Size of P&amp;A contract with studio
7.   7-  9 KK
9.    9-12 KK
10. 12-24 KK</t>
        </r>
      </text>
    </comment>
    <comment ref="F1" authorId="0">
      <text>
        <r>
          <rPr>
            <sz val="8"/>
            <rFont val="Tahoma"/>
            <family val="0"/>
          </rPr>
          <t>Light blue - Fill in the blank for the model to work
Grey - change if sure of the       industry quotient change
Green -- Access another worksheet or document
Red - negative number</t>
        </r>
      </text>
    </comment>
    <comment ref="J8" authorId="0">
      <text>
        <r>
          <rPr>
            <sz val="8"/>
            <rFont val="Tahoma"/>
            <family val="0"/>
          </rPr>
          <t>Track-record + trust score in the industry:  
# from 1-10</t>
        </r>
      </text>
    </comment>
    <comment ref="D72" authorId="0">
      <text>
        <r>
          <rPr>
            <sz val="8"/>
            <rFont val="Tahoma"/>
            <family val="0"/>
          </rPr>
          <t>10% of the 50% receipts (as the operation is owned 50/50 by General and Limited Partner) - after  $25,000 operating reserve left for General Partner</t>
        </r>
      </text>
    </comment>
    <comment ref="C72" authorId="0">
      <text>
        <r>
          <rPr>
            <sz val="8"/>
            <rFont val="Tahoma"/>
            <family val="0"/>
          </rPr>
          <t xml:space="preserve">According to 3 picture net the same as projected net of this picture </t>
        </r>
      </text>
    </comment>
    <comment ref="I68" authorId="0">
      <text>
        <r>
          <rPr>
            <sz val="8"/>
            <rFont val="Tahoma"/>
            <family val="2"/>
          </rPr>
          <t>$ 1 kk</t>
        </r>
        <r>
          <rPr>
            <b/>
            <sz val="8"/>
            <rFont val="Tahoma"/>
            <family val="0"/>
          </rPr>
          <t xml:space="preserve">
</t>
        </r>
        <r>
          <rPr>
            <sz val="8"/>
            <rFont val="Tahoma"/>
            <family val="0"/>
          </rPr>
          <t xml:space="preserve">
This is maximum for 504 Offerings
It is sufficient to fully develop 3 motion pictures.
Gives total access for doing business in US </t>
        </r>
      </text>
    </comment>
    <comment ref="C65" authorId="0">
      <text>
        <r>
          <rPr>
            <sz val="8"/>
            <rFont val="Tahoma"/>
            <family val="0"/>
          </rPr>
          <t>Using now 20% less Production Co. gross and Production Co DDE</t>
        </r>
      </text>
    </comment>
    <comment ref="I8" authorId="0">
      <text>
        <r>
          <rPr>
            <sz val="8"/>
            <rFont val="Tahoma"/>
            <family val="0"/>
          </rPr>
          <t xml:space="preserve">1. www.eagle-i.com
2. www.imdb.com
Are they available to work on this film, or already committed for another picture:
www.exhibitorelations.com </t>
        </r>
      </text>
    </comment>
    <comment ref="E91" authorId="0">
      <text>
        <r>
          <rPr>
            <sz val="8"/>
            <rFont val="Tahoma"/>
            <family val="0"/>
          </rPr>
          <t>Non linear -- can not watch the film from beginning to end.</t>
        </r>
      </text>
    </comment>
    <comment ref="E84" authorId="0">
      <text>
        <r>
          <rPr>
            <sz val="8"/>
            <rFont val="Tahoma"/>
            <family val="0"/>
          </rPr>
          <t>Generally under merchandising are also interactive rights -- here they are all separately</t>
        </r>
      </text>
    </comment>
    <comment ref="A68" authorId="0">
      <text>
        <r>
          <rPr>
            <sz val="8"/>
            <rFont val="Tahoma"/>
            <family val="2"/>
          </rPr>
          <t>Good options for financing:
Private
Corporate
Government</t>
        </r>
        <r>
          <rPr>
            <b/>
            <sz val="8"/>
            <rFont val="Tahoma"/>
            <family val="0"/>
          </rPr>
          <t xml:space="preserve">
</t>
        </r>
        <r>
          <rPr>
            <sz val="8"/>
            <rFont val="Tahoma"/>
            <family val="2"/>
          </rPr>
          <t xml:space="preserve">
Banks and film industry systems never get involved in out of house development financing for first-comers.  </t>
        </r>
      </text>
    </comment>
    <comment ref="A87" authorId="0">
      <text>
        <r>
          <rPr>
            <sz val="8"/>
            <rFont val="Tahoma"/>
            <family val="0"/>
          </rPr>
          <t>2 Premium Cable TV systems:
(HBO) Home Box Office -- Cinemax
Showtime -- Movie Channel</t>
        </r>
      </text>
    </comment>
    <comment ref="A86" authorId="0">
      <text>
        <r>
          <rPr>
            <sz val="8"/>
            <rFont val="Tahoma"/>
            <family val="2"/>
          </rPr>
          <t xml:space="preserve">Fox
Warner TV
Paramount TV
Sony TV
4 competing Nets 
</t>
        </r>
      </text>
    </comment>
    <comment ref="A88" authorId="0">
      <text>
        <r>
          <rPr>
            <sz val="8"/>
            <rFont val="Tahoma"/>
            <family val="0"/>
          </rPr>
          <t>Free TV and cable channels: 
USA
TNT
Other smaller ones</t>
        </r>
      </text>
    </comment>
    <comment ref="J60" authorId="0">
      <text>
        <r>
          <rPr>
            <sz val="8"/>
            <rFont val="Tahoma"/>
            <family val="0"/>
          </rPr>
          <t>Direct Distribution Expenses
For Major Studio - theatrical distributor:
includes P&amp;A, office expenses, calls, employee salaries, also includes Film Exchanges -- Getting film to theater
Producer should not do this by himself
now used 26%of P&amp;A as other distribution expenses</t>
        </r>
      </text>
    </comment>
    <comment ref="A50" authorId="0">
      <text>
        <r>
          <rPr>
            <sz val="8"/>
            <rFont val="Tahoma"/>
            <family val="0"/>
          </rPr>
          <t>It most establish brand.</t>
        </r>
      </text>
    </comment>
    <comment ref="I60" authorId="0">
      <text>
        <r>
          <rPr>
            <sz val="8"/>
            <rFont val="Tahoma"/>
            <family val="0"/>
          </rPr>
          <t xml:space="preserve">50% of GBO is what the Studio generally assumed to retains after exhibitor share of 50% of GBO.
</t>
        </r>
      </text>
    </comment>
    <comment ref="D60" authorId="0">
      <text>
        <r>
          <rPr>
            <sz val="8"/>
            <rFont val="Tahoma"/>
            <family val="2"/>
          </rPr>
          <t>after DDE and 35% of GBO which is mostly to pay the  Exhibitors Nut the distributor has left 35% of GBO. 
They keep actually 35% of GBO</t>
        </r>
      </text>
    </comment>
    <comment ref="H60" authorId="0">
      <text>
        <r>
          <rPr>
            <sz val="8"/>
            <rFont val="Tahoma"/>
            <family val="0"/>
          </rPr>
          <t>What is left from rentals and DDE and from 35% of studio D.Th. Gross for Theater Chain (Exhibitor)
Exhibitor nut is usually 50/50 with the studios, but works at 25/75 -- studio getting 75%</t>
        </r>
      </text>
    </comment>
    <comment ref="E20" authorId="0">
      <text>
        <r>
          <rPr>
            <sz val="8"/>
            <rFont val="Tahoma"/>
            <family val="0"/>
          </rPr>
          <t>For accurate response use films that are not older then 5 years. Also avoid extremely successful and failed pictures.</t>
        </r>
      </text>
    </comment>
    <comment ref="K63" authorId="0">
      <text>
        <r>
          <rPr>
            <sz val="8"/>
            <rFont val="Tahoma"/>
            <family val="0"/>
          </rPr>
          <t>Production co. Direct Distribution Expenses --
office, salaries, travel, rent, communication</t>
        </r>
      </text>
    </comment>
    <comment ref="B65" authorId="0">
      <text>
        <r>
          <rPr>
            <sz val="8"/>
            <rFont val="Tahoma"/>
            <family val="0"/>
          </rPr>
          <t>Production Co. Net after taxes and expenses
70% of prod. co. gross</t>
        </r>
      </text>
    </comment>
    <comment ref="A112" authorId="0">
      <text>
        <r>
          <rPr>
            <sz val="8"/>
            <rFont val="Tahoma"/>
            <family val="0"/>
          </rPr>
          <t>Ratings from 1-10</t>
        </r>
      </text>
    </comment>
    <comment ref="H2" authorId="0">
      <text>
        <r>
          <rPr>
            <sz val="8"/>
            <rFont val="Tahoma"/>
            <family val="2"/>
          </rPr>
          <t>Starting to develop from:</t>
        </r>
        <r>
          <rPr>
            <sz val="8"/>
            <rFont val="Tahoma"/>
            <family val="0"/>
          </rPr>
          <t xml:space="preserve">
Idea
Synopsis
Treatment
Novel
Screenplay
Another film
Stage play
TV series
</t>
        </r>
      </text>
    </comment>
    <comment ref="I2" authorId="0">
      <text>
        <r>
          <rPr>
            <sz val="8"/>
            <rFont val="Tahoma"/>
            <family val="2"/>
          </rPr>
          <t>Creative elements detail</t>
        </r>
      </text>
    </comment>
    <comment ref="J2" authorId="0">
      <text>
        <r>
          <rPr>
            <sz val="8"/>
            <rFont val="Tahoma"/>
            <family val="0"/>
          </rPr>
          <t>An estimate - not a bond proven</t>
        </r>
      </text>
    </comment>
    <comment ref="C110" authorId="0">
      <text>
        <r>
          <rPr>
            <sz val="8"/>
            <rFont val="Tahoma"/>
            <family val="0"/>
          </rPr>
          <t>10.  The Star Wars. 
1. Howard's End
0. None
1. 
2. Minimal
3. 
4
5. Medium
6.
7.
8.  High
9. 
10. Maximum</t>
        </r>
      </text>
    </comment>
    <comment ref="E110" authorId="0">
      <text>
        <r>
          <rPr>
            <sz val="8"/>
            <rFont val="Tahoma"/>
            <family val="0"/>
          </rPr>
          <t>10.  Water World
2. Waking Ned 1998
0. None
1. 
2. Minimal
3. 
4
5. Medium
6.
7.
8.  High
9. 
10. Maximum</t>
        </r>
      </text>
    </comment>
    <comment ref="G110" authorId="0">
      <text>
        <r>
          <rPr>
            <sz val="8"/>
            <rFont val="Tahoma"/>
            <family val="0"/>
          </rPr>
          <t>10.  Amadeus
1. Patch Adams
0. None
1. 
2. Minimal
3. 
4
5. Medium
6.
7.
8.  High
9. 
10. Maximum</t>
        </r>
      </text>
    </comment>
    <comment ref="I110" authorId="0">
      <text>
        <r>
          <rPr>
            <sz val="8"/>
            <rFont val="Tahoma"/>
            <family val="0"/>
          </rPr>
          <t>10.  Shindler's List
3. It's a Wonderful Life
0. None
1. 
2. Minimal
3. 
4
5. Medium
6.
7.
8.  High
9. 
10. Maximum</t>
        </r>
      </text>
    </comment>
    <comment ref="A12" authorId="0">
      <text>
        <r>
          <rPr>
            <sz val="8"/>
            <rFont val="Tahoma"/>
            <family val="0"/>
          </rPr>
          <t>Hoped for, not set</t>
        </r>
      </text>
    </comment>
    <comment ref="H109" authorId="0">
      <text>
        <r>
          <rPr>
            <sz val="8"/>
            <rFont val="Tahoma"/>
            <family val="0"/>
          </rPr>
          <t>Stunt needs,
Cast &amp; crew safety</t>
        </r>
      </text>
    </comment>
    <comment ref="F109" authorId="0">
      <text>
        <r>
          <rPr>
            <sz val="8"/>
            <rFont val="Tahoma"/>
            <family val="2"/>
          </rPr>
          <t>Directing Sophistication
Working with children
Working with Animals</t>
        </r>
      </text>
    </comment>
    <comment ref="D109" authorId="0">
      <text>
        <r>
          <rPr>
            <sz val="8"/>
            <rFont val="Tahoma"/>
            <family val="0"/>
          </rPr>
          <t>Is it a Musical? 
Has Large concerts
Music drives the picture</t>
        </r>
      </text>
    </comment>
    <comment ref="H45" authorId="0">
      <text>
        <r>
          <rPr>
            <sz val="8"/>
            <rFont val="Tahoma"/>
            <family val="0"/>
          </rPr>
          <t>Bank interest - % of accrued interest payable</t>
        </r>
      </text>
    </comment>
    <comment ref="I14" authorId="0">
      <text>
        <r>
          <rPr>
            <sz val="8"/>
            <rFont val="Tahoma"/>
            <family val="0"/>
          </rPr>
          <t>Audience Score average of 3 top target audience scores out of 5 concedered audiences.
# of years in this age group+  
One or both sexes x 5 +
Audience rating +
Audience attendance level (activity) +
Quantity % of this age group by people's registry 
total divided by 7</t>
        </r>
      </text>
    </comment>
    <comment ref="D42" authorId="0">
      <text>
        <r>
          <rPr>
            <b/>
            <sz val="8"/>
            <rFont val="Tahoma"/>
            <family val="0"/>
          </rPr>
          <t>Jaanus Silla:</t>
        </r>
        <r>
          <rPr>
            <sz val="8"/>
            <rFont val="Tahoma"/>
            <family val="0"/>
          </rPr>
          <t xml:space="preserve">
Foreign Presales are discounted 10% 
Can partially get past the problem when making transfers via Hungary
Domestic presale discount 20% </t>
        </r>
      </text>
    </comment>
    <comment ref="E42" authorId="0">
      <text>
        <r>
          <rPr>
            <sz val="8"/>
            <rFont val="Tahoma"/>
            <family val="0"/>
          </rPr>
          <t>Saving with transfering through Hungary on foreign presales
If you plan not to transfer through Hungary banks then the formula needs to be multiplied by zero.</t>
        </r>
      </text>
    </comment>
  </commentList>
</comments>
</file>

<file path=xl/sharedStrings.xml><?xml version="1.0" encoding="utf-8"?>
<sst xmlns="http://schemas.openxmlformats.org/spreadsheetml/2006/main" count="263" uniqueCount="215">
  <si>
    <t>Prospective Writers:</t>
  </si>
  <si>
    <t xml:space="preserve"> </t>
  </si>
  <si>
    <t>Prospective Directors:</t>
  </si>
  <si>
    <t>Release Date</t>
  </si>
  <si>
    <t>Budget</t>
  </si>
  <si>
    <t>Negative Cost</t>
  </si>
  <si>
    <t>Studio Gross</t>
  </si>
  <si>
    <t>Production Co. Gross</t>
  </si>
  <si>
    <t xml:space="preserve">Domestic Theatrical (DT) </t>
  </si>
  <si>
    <t>Video (V)</t>
  </si>
  <si>
    <t>Network Television (NT)</t>
  </si>
  <si>
    <t>Syndication (SY)</t>
  </si>
  <si>
    <t>Foreign Markets (FM)</t>
  </si>
  <si>
    <t>Planes</t>
  </si>
  <si>
    <t>Audio Books</t>
  </si>
  <si>
    <t xml:space="preserve">Genre / Key Word </t>
  </si>
  <si>
    <t>Comparative Motion</t>
  </si>
  <si>
    <t>Pictures:</t>
  </si>
  <si>
    <t>from</t>
  </si>
  <si>
    <t>to</t>
  </si>
  <si>
    <t>GBO</t>
  </si>
  <si>
    <t>Total</t>
  </si>
  <si>
    <t>Completion Bond</t>
  </si>
  <si>
    <t>2nd Contingency</t>
  </si>
  <si>
    <t>Japanese</t>
  </si>
  <si>
    <t>UK</t>
  </si>
  <si>
    <t>Net.TV</t>
  </si>
  <si>
    <t>P. CBL</t>
  </si>
  <si>
    <t>Germany</t>
  </si>
  <si>
    <t>Italy</t>
  </si>
  <si>
    <t>Gap Financing</t>
  </si>
  <si>
    <t>EARNINGS</t>
  </si>
  <si>
    <t>D.Th.</t>
  </si>
  <si>
    <t>Video</t>
  </si>
  <si>
    <t>Total Secured Financing</t>
  </si>
  <si>
    <t>PICTURE FINANCING</t>
  </si>
  <si>
    <t>Presales</t>
  </si>
  <si>
    <t>ALP</t>
  </si>
  <si>
    <t>Major Media Windows Totals</t>
  </si>
  <si>
    <t>Derivative</t>
  </si>
  <si>
    <t>TV</t>
  </si>
  <si>
    <t>Foreign</t>
  </si>
  <si>
    <t>Novelisation</t>
  </si>
  <si>
    <t>Live stage play</t>
  </si>
  <si>
    <t>Music publishing</t>
  </si>
  <si>
    <t>Internet</t>
  </si>
  <si>
    <t>Ships at sea</t>
  </si>
  <si>
    <t>Prison systems</t>
  </si>
  <si>
    <t>Hotels</t>
  </si>
  <si>
    <t>Computer games</t>
  </si>
  <si>
    <t>Major</t>
  </si>
  <si>
    <t>Television</t>
  </si>
  <si>
    <t>Ancillary</t>
  </si>
  <si>
    <t>Premium (CBL)</t>
  </si>
  <si>
    <t>Sequels</t>
  </si>
  <si>
    <t>Soundtrack</t>
  </si>
  <si>
    <t>Derivative Rights</t>
  </si>
  <si>
    <t>Additional</t>
  </si>
  <si>
    <t>Gap is</t>
  </si>
  <si>
    <t>Sweden</t>
  </si>
  <si>
    <t>Australia</t>
  </si>
  <si>
    <t>France</t>
  </si>
  <si>
    <t>Estonia</t>
  </si>
  <si>
    <t>Adjustment %</t>
  </si>
  <si>
    <t>Quotient</t>
  </si>
  <si>
    <t>APL %</t>
  </si>
  <si>
    <t>Japan</t>
  </si>
  <si>
    <t>Presale % relative to Negative Cost</t>
  </si>
  <si>
    <t>Comparatives</t>
  </si>
  <si>
    <t>Totals</t>
  </si>
  <si>
    <t>Cost</t>
  </si>
  <si>
    <t>Formula</t>
  </si>
  <si>
    <t xml:space="preserve">Creative </t>
  </si>
  <si>
    <t>Talent</t>
  </si>
  <si>
    <t>Prospective Picture Earnings</t>
  </si>
  <si>
    <t xml:space="preserve">   </t>
  </si>
  <si>
    <t xml:space="preserve">Author                 </t>
  </si>
  <si>
    <t>Material</t>
  </si>
  <si>
    <t>Draft Date</t>
  </si>
  <si>
    <t>Submitted by</t>
  </si>
  <si>
    <t>Agent / Agency</t>
  </si>
  <si>
    <t>Reader</t>
  </si>
  <si>
    <t>Coverage Date</t>
  </si>
  <si>
    <t>Pages</t>
  </si>
  <si>
    <t>Time Period</t>
  </si>
  <si>
    <t>Genera</t>
  </si>
  <si>
    <t>Location</t>
  </si>
  <si>
    <t>Special Effects</t>
  </si>
  <si>
    <t xml:space="preserve">  </t>
  </si>
  <si>
    <t xml:space="preserve">High Concept       </t>
  </si>
  <si>
    <t xml:space="preserve">Page Turner          </t>
  </si>
  <si>
    <t xml:space="preserve">Entertainment Power    </t>
  </si>
  <si>
    <t xml:space="preserve">Story / Character Continuity </t>
  </si>
  <si>
    <t xml:space="preserve">Story Wholeness     </t>
  </si>
  <si>
    <t>Youth</t>
  </si>
  <si>
    <t>Rating</t>
  </si>
  <si>
    <t>Children</t>
  </si>
  <si>
    <t>Score</t>
  </si>
  <si>
    <t>Attendance</t>
  </si>
  <si>
    <t>Aud. Rating</t>
  </si>
  <si>
    <t>Aud. Score</t>
  </si>
  <si>
    <t>Quantity %</t>
  </si>
  <si>
    <t>Story Energy</t>
  </si>
  <si>
    <t>Story Analysis</t>
  </si>
  <si>
    <t xml:space="preserve">Rating of creative aspects, based on the average above </t>
  </si>
  <si>
    <t>VOD</t>
  </si>
  <si>
    <t>PPV</t>
  </si>
  <si>
    <t>Spain</t>
  </si>
  <si>
    <t>Brazil</t>
  </si>
  <si>
    <t>Hong Kong</t>
  </si>
  <si>
    <t>Foreign Presales</t>
  </si>
  <si>
    <t>N/A</t>
  </si>
  <si>
    <t xml:space="preserve">Total  </t>
  </si>
  <si>
    <t xml:space="preserve">Period </t>
  </si>
  <si>
    <t>Technicality</t>
  </si>
  <si>
    <t>Execution Needs</t>
  </si>
  <si>
    <t>Execution Difficulty Level</t>
  </si>
  <si>
    <t>Log Line</t>
  </si>
  <si>
    <t>Marketing</t>
  </si>
  <si>
    <t>P&amp;A</t>
  </si>
  <si>
    <t>Placement</t>
  </si>
  <si>
    <t xml:space="preserve">Product </t>
  </si>
  <si>
    <t>Promotional</t>
  </si>
  <si>
    <t>Tie-ins</t>
  </si>
  <si>
    <t>Trailer</t>
  </si>
  <si>
    <t>TV Spot</t>
  </si>
  <si>
    <t>Location Brand</t>
  </si>
  <si>
    <t>Reach</t>
  </si>
  <si>
    <t>Frequency</t>
  </si>
  <si>
    <t>Average</t>
  </si>
  <si>
    <t>Information</t>
  </si>
  <si>
    <t>Bankability</t>
  </si>
  <si>
    <t>Acting Talent</t>
  </si>
  <si>
    <t>Picture Development</t>
  </si>
  <si>
    <t>Financing needs</t>
  </si>
  <si>
    <t>120% return of invested funds in 1 year</t>
  </si>
  <si>
    <t>Find</t>
  </si>
  <si>
    <t xml:space="preserve">Three picture development package needs </t>
  </si>
  <si>
    <t>Analysis</t>
  </si>
  <si>
    <t>Access</t>
  </si>
  <si>
    <t>None</t>
  </si>
  <si>
    <t>Property</t>
  </si>
  <si>
    <t>Cash flow projections</t>
  </si>
  <si>
    <t>Activity Projections</t>
  </si>
  <si>
    <t>Development Detail</t>
  </si>
  <si>
    <t>Long term investor gross</t>
  </si>
  <si>
    <t>Short term investor gross</t>
  </si>
  <si>
    <t>Prints cost</t>
  </si>
  <si>
    <t># of Prints</t>
  </si>
  <si>
    <t>DDE</t>
  </si>
  <si>
    <t>Prod. DDE</t>
  </si>
  <si>
    <t>Rentals</t>
  </si>
  <si>
    <t>Exhibitor</t>
  </si>
  <si>
    <t xml:space="preserve"> Net</t>
  </si>
  <si>
    <t>Target Audience Analysis</t>
  </si>
  <si>
    <t>© 2003 Jaanus Silla</t>
  </si>
  <si>
    <t>Advertising</t>
  </si>
  <si>
    <t>10% of 3 pict. net</t>
  </si>
  <si>
    <t>Picture Liquidation Breakdown</t>
  </si>
  <si>
    <t>TV-Spin off</t>
  </si>
  <si>
    <t>Merchandise</t>
  </si>
  <si>
    <t>Creative Aspects Review</t>
  </si>
  <si>
    <t>Colour-code</t>
  </si>
  <si>
    <t xml:space="preserve">Visible Trailer Spots         </t>
  </si>
  <si>
    <t xml:space="preserve">3rd </t>
  </si>
  <si>
    <t xml:space="preserve">Target Audience       </t>
  </si>
  <si>
    <t xml:space="preserve"> Target Audience </t>
  </si>
  <si>
    <t>2nd</t>
  </si>
  <si>
    <t xml:space="preserve"> Target Audience</t>
  </si>
  <si>
    <t>4th</t>
  </si>
  <si>
    <t>5th</t>
  </si>
  <si>
    <t>Total Earnings</t>
  </si>
  <si>
    <t>Recouping initial investment</t>
  </si>
  <si>
    <t>Viz</t>
  </si>
  <si>
    <t>Team</t>
  </si>
  <si>
    <t>Topsheet</t>
  </si>
  <si>
    <t>COVERAGE &amp; CREATIVE BRAKEDOWN</t>
  </si>
  <si>
    <t>Safety</t>
  </si>
  <si>
    <t>Directing D.</t>
  </si>
  <si>
    <t>Music</t>
  </si>
  <si>
    <t>Gap %</t>
  </si>
  <si>
    <t>Pay Back</t>
  </si>
  <si>
    <t>Adult</t>
  </si>
  <si>
    <t>Senior</t>
  </si>
  <si>
    <t>Novel</t>
  </si>
  <si>
    <t>Christmas</t>
  </si>
  <si>
    <t>1th</t>
  </si>
  <si>
    <t>Christmas Night</t>
  </si>
  <si>
    <t xml:space="preserve">An imaginary story of Joseph and Mary of what took place during </t>
  </si>
  <si>
    <t xml:space="preserve">their trip from Nazareth to Bethlehem. The story is told from the </t>
  </si>
  <si>
    <t xml:space="preserve">donkeys point of view portraying their adventure as hazardous </t>
  </si>
  <si>
    <t>but fun.</t>
  </si>
  <si>
    <t xml:space="preserve">Family / Christmas / Animation / Fantasy / Adventure / </t>
  </si>
  <si>
    <t xml:space="preserve">Romance / Animals / Birth of Christ / Bravery / </t>
  </si>
  <si>
    <t xml:space="preserve">Heartwarming / Compassion  </t>
  </si>
  <si>
    <t>George Miller II</t>
  </si>
  <si>
    <t>Chris Noonan</t>
  </si>
  <si>
    <t>Mark Walton</t>
  </si>
  <si>
    <t>Babe</t>
  </si>
  <si>
    <t>Prince of Egipt</t>
  </si>
  <si>
    <t>Lion King</t>
  </si>
  <si>
    <t>Jungle book</t>
  </si>
  <si>
    <t>Toy Story</t>
  </si>
  <si>
    <t>Toy story 2</t>
  </si>
  <si>
    <t>Ash Brannon</t>
  </si>
  <si>
    <t>Preqels</t>
  </si>
  <si>
    <t xml:space="preserve">Christmas Night, The </t>
  </si>
  <si>
    <t>Journey to Bethlehem</t>
  </si>
  <si>
    <t>Joseph's Donkey</t>
  </si>
  <si>
    <t>Christmas Musical Animation</t>
  </si>
  <si>
    <t>Discount</t>
  </si>
  <si>
    <t>1 B.C. - 1 A.D.</t>
  </si>
  <si>
    <t>Saving W/ H</t>
  </si>
  <si>
    <t xml:space="preserve">         Domestic Presales</t>
  </si>
  <si>
    <t>Novel  (Readers Digest)</t>
  </si>
</sst>
</file>

<file path=xl/styles.xml><?xml version="1.0" encoding="utf-8"?>
<styleSheet xmlns="http://schemas.openxmlformats.org/spreadsheetml/2006/main">
  <numFmts count="47">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K\K"/>
    <numFmt numFmtId="165" formatCode="\$#,##0.00,\K\K;\-\$#,##0.00,\K\K"/>
    <numFmt numFmtId="166" formatCode="\$#,###,,\K\K;\-\$#,###,,\K\K"/>
    <numFmt numFmtId="167" formatCode="\$0,000,,\K\K;\-\$0,000,,\K\K"/>
    <numFmt numFmtId="168" formatCode="\$0,\K\K"/>
    <numFmt numFmtId="169" formatCode="\$#,###.#,\K\K"/>
    <numFmt numFmtId="170" formatCode="\$#,###,\K\K;\-\$#,###,\K\K"/>
    <numFmt numFmtId="171" formatCode="\$#.#,\K\K"/>
    <numFmt numFmtId="172" formatCode="&quot;$&quot;#.#,\K\K"/>
    <numFmt numFmtId="173" formatCode="&quot;$&quot;#,###.00,\K\K"/>
    <numFmt numFmtId="174" formatCode="&quot;$&quot;###,#00,\K\K"/>
    <numFmt numFmtId="175" formatCode="&quot;$&quot;#,###,\K\K"/>
    <numFmt numFmtId="176" formatCode="\$#,##0\ _k_r\ \K\K;[Red]\-#,##0\ _k_r"/>
    <numFmt numFmtId="177" formatCode="\$##,###\ _k_r\ \K\K;[Red]\-##,###\ _k_r"/>
    <numFmt numFmtId="178" formatCode="\$##,###\ _k_r\K\K;[Red]\-##,###\ _k_r"/>
    <numFmt numFmtId="179" formatCode="\$##,###\ _k\r\K\K;[Red]\-##,###\ _k\r"/>
    <numFmt numFmtId="180" formatCode="###,##0.00\ &quot;kr&quot;;[Red]\-###,##0.00\ &quot;kr&quot;"/>
    <numFmt numFmtId="181" formatCode="0,%"/>
    <numFmt numFmtId="182" formatCode="#,%"/>
    <numFmt numFmtId="183" formatCode="###,%"/>
    <numFmt numFmtId="184" formatCode="###\ %"/>
    <numFmt numFmtId="185" formatCode="#\ %"/>
    <numFmt numFmtId="186" formatCode="##\ %"/>
    <numFmt numFmtId="187" formatCode="\ \%"/>
    <numFmt numFmtId="188" formatCode="#,\%"/>
    <numFmt numFmtId="189" formatCode="##,\%"/>
    <numFmt numFmtId="190" formatCode="#.00\ %"/>
    <numFmt numFmtId="191" formatCode="#.0\ %"/>
    <numFmt numFmtId="192" formatCode="\$##,###.#\ _k_r\K\K;[Red]\-##,###.#\ _k_r"/>
    <numFmt numFmtId="193" formatCode="0.0"/>
    <numFmt numFmtId="194" formatCode="\$##,###.#0\ _k_r\K\K;[Red]\-##,###.#\ _k_r"/>
    <numFmt numFmtId="195" formatCode="\$###,###\ _k_r\K\K;[Red]\-##,###.#\ _k_r"/>
    <numFmt numFmtId="196" formatCode="##,%"/>
    <numFmt numFmtId="197" formatCode="\-\$##,###.#\ _k_r\K\K;[Red]\-##,###.#\ _k_r"/>
    <numFmt numFmtId="198" formatCode="#&quot; &quot;?/2"/>
    <numFmt numFmtId="199" formatCode="##,###.\5\ _k_r;[Red]\-##,###.\5\ _k_r"/>
    <numFmt numFmtId="200" formatCode="##,###.#,_k_r;[Red]\-##,###.#,_k_r"/>
    <numFmt numFmtId="201" formatCode="#,###.#,_k_r;[Red]\-#,###.#,_k_r"/>
    <numFmt numFmtId="202" formatCode="##,###.#\ _k_r;[Red]\-#,###.#\ _k_r"/>
  </numFmts>
  <fonts count="22">
    <font>
      <sz val="10"/>
      <name val="Arial"/>
      <family val="0"/>
    </font>
    <font>
      <sz val="8"/>
      <name val="Tahoma"/>
      <family val="0"/>
    </font>
    <font>
      <b/>
      <sz val="8"/>
      <name val="Tahoma"/>
      <family val="0"/>
    </font>
    <font>
      <sz val="10"/>
      <color indexed="47"/>
      <name val="Arial"/>
      <family val="2"/>
    </font>
    <font>
      <sz val="10"/>
      <color indexed="56"/>
      <name val="Arial"/>
      <family val="2"/>
    </font>
    <font>
      <b/>
      <sz val="10"/>
      <color indexed="56"/>
      <name val="Arial"/>
      <family val="2"/>
    </font>
    <font>
      <b/>
      <sz val="10"/>
      <name val="Arial"/>
      <family val="2"/>
    </font>
    <font>
      <b/>
      <sz val="12"/>
      <color indexed="47"/>
      <name val="Arial"/>
      <family val="2"/>
    </font>
    <font>
      <sz val="10"/>
      <color indexed="9"/>
      <name val="Arial"/>
      <family val="2"/>
    </font>
    <font>
      <sz val="10"/>
      <color indexed="10"/>
      <name val="Arial"/>
      <family val="2"/>
    </font>
    <font>
      <b/>
      <sz val="10"/>
      <color indexed="47"/>
      <name val="Arial"/>
      <family val="2"/>
    </font>
    <font>
      <b/>
      <sz val="10"/>
      <color indexed="53"/>
      <name val="Arial"/>
      <family val="2"/>
    </font>
    <font>
      <b/>
      <i/>
      <sz val="16"/>
      <color indexed="52"/>
      <name val="Arial"/>
      <family val="2"/>
    </font>
    <font>
      <sz val="10"/>
      <color indexed="41"/>
      <name val="Arial"/>
      <family val="2"/>
    </font>
    <font>
      <b/>
      <sz val="10"/>
      <color indexed="9"/>
      <name val="Arial"/>
      <family val="2"/>
    </font>
    <font>
      <sz val="10"/>
      <color indexed="52"/>
      <name val="Arial"/>
      <family val="2"/>
    </font>
    <font>
      <sz val="10"/>
      <color indexed="18"/>
      <name val="Arial"/>
      <family val="2"/>
    </font>
    <font>
      <b/>
      <sz val="11"/>
      <color indexed="47"/>
      <name val="Arial"/>
      <family val="2"/>
    </font>
    <font>
      <b/>
      <i/>
      <sz val="10"/>
      <name val="Arial"/>
      <family val="2"/>
    </font>
    <font>
      <sz val="8"/>
      <name val="Arial"/>
      <family val="0"/>
    </font>
    <font>
      <u val="single"/>
      <sz val="10"/>
      <color indexed="12"/>
      <name val="Arial"/>
      <family val="0"/>
    </font>
    <font>
      <b/>
      <sz val="8"/>
      <name val="Arial"/>
      <family val="2"/>
    </font>
  </fonts>
  <fills count="9">
    <fill>
      <patternFill/>
    </fill>
    <fill>
      <patternFill patternType="gray125"/>
    </fill>
    <fill>
      <patternFill patternType="solid">
        <fgColor indexed="56"/>
        <bgColor indexed="64"/>
      </patternFill>
    </fill>
    <fill>
      <patternFill patternType="solid">
        <fgColor indexed="47"/>
        <bgColor indexed="64"/>
      </patternFill>
    </fill>
    <fill>
      <patternFill patternType="solid">
        <fgColor indexed="52"/>
        <bgColor indexed="64"/>
      </patternFill>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s>
  <borders count="4">
    <border>
      <left/>
      <right/>
      <top/>
      <bottom/>
      <diagonal/>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cellStyleXfs>
  <cellXfs count="107">
    <xf numFmtId="0" fontId="0" fillId="0" borderId="0" xfId="0" applyAlignment="1">
      <alignment/>
    </xf>
    <xf numFmtId="0" fontId="0" fillId="2" borderId="0" xfId="0" applyFill="1" applyAlignment="1">
      <alignment/>
    </xf>
    <xf numFmtId="0" fontId="3" fillId="2" borderId="0" xfId="0" applyFont="1" applyFill="1" applyAlignment="1">
      <alignment/>
    </xf>
    <xf numFmtId="0" fontId="4" fillId="3" borderId="0" xfId="0" applyFont="1" applyFill="1" applyAlignment="1">
      <alignment horizontal="center"/>
    </xf>
    <xf numFmtId="178" fontId="0" fillId="0" borderId="0" xfId="0" applyNumberFormat="1" applyAlignment="1">
      <alignment horizontal="center"/>
    </xf>
    <xf numFmtId="0" fontId="4" fillId="3" borderId="0" xfId="0" applyFont="1" applyFill="1" applyAlignment="1">
      <alignment/>
    </xf>
    <xf numFmtId="0" fontId="5" fillId="3" borderId="0" xfId="0" applyFont="1" applyFill="1" applyAlignment="1">
      <alignment/>
    </xf>
    <xf numFmtId="0" fontId="5" fillId="3" borderId="0" xfId="0" applyFont="1" applyFill="1" applyAlignment="1">
      <alignment horizontal="center"/>
    </xf>
    <xf numFmtId="178" fontId="5" fillId="3" borderId="0" xfId="0" applyNumberFormat="1" applyFont="1" applyFill="1" applyAlignment="1">
      <alignment horizontal="center"/>
    </xf>
    <xf numFmtId="192" fontId="4" fillId="3" borderId="0" xfId="0" applyNumberFormat="1" applyFont="1" applyFill="1" applyAlignment="1">
      <alignment horizontal="center"/>
    </xf>
    <xf numFmtId="0" fontId="7" fillId="2" borderId="0" xfId="0" applyFont="1" applyFill="1" applyAlignment="1">
      <alignment/>
    </xf>
    <xf numFmtId="195" fontId="0" fillId="0" borderId="0" xfId="0" applyNumberFormat="1" applyAlignment="1">
      <alignment/>
    </xf>
    <xf numFmtId="192" fontId="5" fillId="3" borderId="0" xfId="0" applyNumberFormat="1" applyFont="1" applyFill="1" applyAlignment="1">
      <alignment horizontal="center"/>
    </xf>
    <xf numFmtId="178" fontId="4" fillId="3" borderId="0" xfId="0" applyNumberFormat="1" applyFont="1" applyFill="1" applyAlignment="1">
      <alignment horizontal="center"/>
    </xf>
    <xf numFmtId="0" fontId="0" fillId="0" borderId="0" xfId="0" applyAlignment="1">
      <alignment horizontal="center"/>
    </xf>
    <xf numFmtId="0" fontId="8" fillId="0" borderId="0" xfId="0" applyFont="1" applyAlignment="1">
      <alignment horizontal="center"/>
    </xf>
    <xf numFmtId="0" fontId="0" fillId="3" borderId="0" xfId="0" applyFill="1" applyAlignment="1">
      <alignment/>
    </xf>
    <xf numFmtId="192" fontId="3" fillId="2" borderId="0" xfId="0" applyNumberFormat="1" applyFont="1" applyFill="1" applyAlignment="1">
      <alignment/>
    </xf>
    <xf numFmtId="192" fontId="0" fillId="4" borderId="0" xfId="0" applyNumberFormat="1" applyFill="1" applyAlignment="1">
      <alignment/>
    </xf>
    <xf numFmtId="192" fontId="6" fillId="4" borderId="0" xfId="0" applyNumberFormat="1" applyFont="1" applyFill="1" applyAlignment="1">
      <alignment horizontal="center"/>
    </xf>
    <xf numFmtId="178" fontId="6" fillId="4" borderId="0" xfId="0" applyNumberFormat="1" applyFont="1" applyFill="1" applyAlignment="1">
      <alignment horizontal="center"/>
    </xf>
    <xf numFmtId="192" fontId="6" fillId="4" borderId="1" xfId="0" applyNumberFormat="1" applyFont="1" applyFill="1" applyBorder="1" applyAlignment="1">
      <alignment horizontal="right"/>
    </xf>
    <xf numFmtId="0" fontId="6" fillId="3" borderId="2" xfId="0" applyFont="1" applyFill="1" applyBorder="1" applyAlignment="1">
      <alignment horizontal="center"/>
    </xf>
    <xf numFmtId="192" fontId="11" fillId="5" borderId="3" xfId="0" applyNumberFormat="1" applyFont="1" applyFill="1" applyBorder="1" applyAlignment="1">
      <alignment/>
    </xf>
    <xf numFmtId="0" fontId="0" fillId="4" borderId="0" xfId="0" applyFill="1" applyAlignment="1">
      <alignment/>
    </xf>
    <xf numFmtId="0" fontId="12" fillId="2" borderId="0" xfId="0" applyFont="1" applyFill="1" applyAlignment="1">
      <alignment/>
    </xf>
    <xf numFmtId="0" fontId="13" fillId="4" borderId="0" xfId="0" applyFont="1" applyFill="1" applyAlignment="1">
      <alignment/>
    </xf>
    <xf numFmtId="0" fontId="6" fillId="4" borderId="1" xfId="0" applyFont="1" applyFill="1" applyBorder="1" applyAlignment="1">
      <alignment horizontal="center"/>
    </xf>
    <xf numFmtId="0" fontId="3" fillId="2" borderId="0" xfId="0" applyFont="1" applyFill="1" applyAlignment="1">
      <alignment horizontal="left"/>
    </xf>
    <xf numFmtId="0" fontId="0" fillId="3" borderId="0" xfId="0" applyFill="1" applyAlignment="1">
      <alignment horizontal="center"/>
    </xf>
    <xf numFmtId="0" fontId="5" fillId="5" borderId="0" xfId="0" applyFont="1" applyFill="1" applyAlignment="1">
      <alignment horizontal="center"/>
    </xf>
    <xf numFmtId="0" fontId="8" fillId="0" borderId="0" xfId="0" applyFont="1" applyFill="1" applyAlignment="1">
      <alignment/>
    </xf>
    <xf numFmtId="0" fontId="15" fillId="4" borderId="0" xfId="0" applyFont="1" applyFill="1" applyAlignment="1">
      <alignment horizontal="center"/>
    </xf>
    <xf numFmtId="192" fontId="10" fillId="2" borderId="0" xfId="0" applyNumberFormat="1" applyFont="1" applyFill="1" applyAlignment="1">
      <alignment/>
    </xf>
    <xf numFmtId="192" fontId="16" fillId="3" borderId="0" xfId="0" applyNumberFormat="1" applyFont="1" applyFill="1" applyAlignment="1">
      <alignment/>
    </xf>
    <xf numFmtId="192" fontId="5" fillId="3" borderId="0" xfId="0" applyNumberFormat="1" applyFont="1" applyFill="1" applyAlignment="1">
      <alignment/>
    </xf>
    <xf numFmtId="192" fontId="6" fillId="4" borderId="1" xfId="0" applyNumberFormat="1" applyFont="1" applyFill="1" applyBorder="1" applyAlignment="1">
      <alignment horizontal="center"/>
    </xf>
    <xf numFmtId="192" fontId="6" fillId="3" borderId="0" xfId="0" applyNumberFormat="1" applyFont="1" applyFill="1" applyAlignment="1">
      <alignment horizontal="center"/>
    </xf>
    <xf numFmtId="0" fontId="4" fillId="2" borderId="0" xfId="0" applyFont="1" applyFill="1" applyAlignment="1">
      <alignment/>
    </xf>
    <xf numFmtId="0" fontId="3" fillId="2" borderId="0" xfId="0" applyFont="1" applyFill="1" applyAlignment="1">
      <alignment horizontal="center"/>
    </xf>
    <xf numFmtId="0" fontId="13" fillId="2" borderId="0" xfId="0" applyFont="1" applyFill="1" applyAlignment="1">
      <alignment/>
    </xf>
    <xf numFmtId="0" fontId="4" fillId="3" borderId="0" xfId="0" applyFont="1" applyFill="1" applyAlignment="1">
      <alignment horizontal="left"/>
    </xf>
    <xf numFmtId="0" fontId="4" fillId="5" borderId="0" xfId="0" applyFont="1" applyFill="1" applyAlignment="1">
      <alignment horizontal="center"/>
    </xf>
    <xf numFmtId="0" fontId="15" fillId="4" borderId="0" xfId="0" applyNumberFormat="1" applyFont="1" applyFill="1" applyBorder="1" applyAlignment="1">
      <alignment horizontal="center"/>
    </xf>
    <xf numFmtId="0" fontId="6" fillId="4" borderId="1" xfId="0" applyNumberFormat="1" applyFont="1" applyFill="1" applyBorder="1" applyAlignment="1">
      <alignment horizontal="center"/>
    </xf>
    <xf numFmtId="0" fontId="5" fillId="4" borderId="0" xfId="0" applyFont="1" applyFill="1" applyAlignment="1">
      <alignment horizontal="left"/>
    </xf>
    <xf numFmtId="0" fontId="17" fillId="2" borderId="0" xfId="0" applyFont="1" applyFill="1" applyAlignment="1">
      <alignment/>
    </xf>
    <xf numFmtId="0" fontId="10" fillId="2" borderId="0" xfId="0" applyFont="1" applyFill="1" applyAlignment="1">
      <alignment horizontal="center"/>
    </xf>
    <xf numFmtId="0" fontId="3" fillId="2" borderId="0" xfId="0" applyFont="1" applyFill="1" applyAlignment="1">
      <alignment horizontal="right"/>
    </xf>
    <xf numFmtId="0" fontId="4" fillId="5" borderId="0" xfId="0" applyNumberFormat="1" applyFont="1" applyFill="1" applyAlignment="1">
      <alignment horizontal="center"/>
    </xf>
    <xf numFmtId="0" fontId="0" fillId="6" borderId="0" xfId="0" applyFill="1" applyAlignment="1">
      <alignment/>
    </xf>
    <xf numFmtId="0" fontId="3" fillId="6" borderId="0" xfId="0" applyFont="1" applyFill="1" applyAlignment="1">
      <alignment/>
    </xf>
    <xf numFmtId="0" fontId="6" fillId="6" borderId="0" xfId="0" applyFont="1" applyFill="1" applyAlignment="1">
      <alignment horizontal="center"/>
    </xf>
    <xf numFmtId="0" fontId="14" fillId="6" borderId="0" xfId="0" applyFont="1" applyFill="1" applyAlignment="1">
      <alignment/>
    </xf>
    <xf numFmtId="0" fontId="0" fillId="6" borderId="0" xfId="0" applyFill="1" applyAlignment="1">
      <alignment horizontal="left"/>
    </xf>
    <xf numFmtId="0" fontId="8" fillId="6" borderId="0" xfId="0" applyFont="1" applyFill="1" applyAlignment="1">
      <alignment/>
    </xf>
    <xf numFmtId="0" fontId="13" fillId="6" borderId="0" xfId="0" applyFont="1" applyFill="1" applyAlignment="1">
      <alignment/>
    </xf>
    <xf numFmtId="0" fontId="8" fillId="6" borderId="0" xfId="0" applyFont="1" applyFill="1" applyAlignment="1">
      <alignment horizontal="center"/>
    </xf>
    <xf numFmtId="0" fontId="0" fillId="6" borderId="0" xfId="0" applyFill="1" applyAlignment="1">
      <alignment horizontal="center"/>
    </xf>
    <xf numFmtId="171" fontId="0" fillId="6" borderId="0" xfId="0" applyNumberFormat="1" applyFill="1" applyAlignment="1">
      <alignment/>
    </xf>
    <xf numFmtId="0" fontId="4" fillId="6" borderId="0" xfId="0" applyFont="1" applyFill="1" applyAlignment="1">
      <alignment/>
    </xf>
    <xf numFmtId="192" fontId="6" fillId="6" borderId="0" xfId="0" applyNumberFormat="1" applyFont="1" applyFill="1" applyAlignment="1">
      <alignment horizontal="right"/>
    </xf>
    <xf numFmtId="192" fontId="8" fillId="6" borderId="0" xfId="0" applyNumberFormat="1" applyFont="1" applyFill="1" applyAlignment="1">
      <alignment/>
    </xf>
    <xf numFmtId="178" fontId="0" fillId="6" borderId="0" xfId="0" applyNumberFormat="1" applyFill="1" applyAlignment="1">
      <alignment horizontal="right"/>
    </xf>
    <xf numFmtId="192" fontId="0" fillId="6" borderId="0" xfId="0" applyNumberFormat="1" applyFill="1" applyAlignment="1">
      <alignment/>
    </xf>
    <xf numFmtId="192" fontId="0" fillId="6" borderId="0" xfId="0" applyNumberFormat="1" applyFill="1" applyAlignment="1">
      <alignment horizontal="center"/>
    </xf>
    <xf numFmtId="192" fontId="6" fillId="6" borderId="0" xfId="0" applyNumberFormat="1" applyFont="1" applyFill="1" applyAlignment="1">
      <alignment horizontal="center"/>
    </xf>
    <xf numFmtId="0" fontId="8" fillId="6" borderId="0" xfId="0" applyNumberFormat="1" applyFont="1" applyFill="1" applyAlignment="1">
      <alignment horizontal="center"/>
    </xf>
    <xf numFmtId="178" fontId="0" fillId="6" borderId="0" xfId="0" applyNumberFormat="1" applyFill="1" applyAlignment="1">
      <alignment horizontal="center"/>
    </xf>
    <xf numFmtId="0" fontId="0" fillId="6" borderId="0" xfId="0" applyNumberFormat="1" applyFill="1" applyAlignment="1">
      <alignment horizontal="center"/>
    </xf>
    <xf numFmtId="0" fontId="8" fillId="6" borderId="0" xfId="0" applyNumberFormat="1" applyFont="1" applyFill="1" applyBorder="1" applyAlignment="1">
      <alignment horizontal="center"/>
    </xf>
    <xf numFmtId="192" fontId="6" fillId="6" borderId="0" xfId="0" applyNumberFormat="1" applyFont="1" applyFill="1" applyAlignment="1">
      <alignment/>
    </xf>
    <xf numFmtId="193" fontId="8" fillId="6" borderId="0" xfId="0" applyNumberFormat="1" applyFont="1" applyFill="1" applyAlignment="1">
      <alignment/>
    </xf>
    <xf numFmtId="197" fontId="9" fillId="6" borderId="0" xfId="0" applyNumberFormat="1" applyFont="1" applyFill="1" applyAlignment="1">
      <alignment/>
    </xf>
    <xf numFmtId="192" fontId="4" fillId="6" borderId="0" xfId="0" applyNumberFormat="1" applyFont="1" applyFill="1" applyAlignment="1">
      <alignment/>
    </xf>
    <xf numFmtId="0" fontId="0" fillId="6" borderId="0" xfId="0" applyFont="1" applyFill="1" applyAlignment="1">
      <alignment/>
    </xf>
    <xf numFmtId="195" fontId="0" fillId="6" borderId="0" xfId="0" applyNumberFormat="1" applyFont="1" applyFill="1" applyAlignment="1">
      <alignment/>
    </xf>
    <xf numFmtId="0" fontId="18" fillId="6" borderId="0" xfId="0" applyFont="1" applyFill="1" applyAlignment="1">
      <alignment horizontal="center"/>
    </xf>
    <xf numFmtId="0" fontId="10" fillId="2" borderId="0" xfId="0" applyFont="1" applyFill="1" applyAlignment="1">
      <alignment horizontal="left"/>
    </xf>
    <xf numFmtId="0" fontId="8" fillId="2" borderId="0" xfId="0" applyFont="1" applyFill="1" applyAlignment="1">
      <alignment/>
    </xf>
    <xf numFmtId="0" fontId="0" fillId="2" borderId="0" xfId="0" applyFill="1" applyAlignment="1">
      <alignment horizontal="right"/>
    </xf>
    <xf numFmtId="0" fontId="4" fillId="5" borderId="0" xfId="0" applyFont="1" applyFill="1" applyAlignment="1">
      <alignment/>
    </xf>
    <xf numFmtId="0" fontId="4" fillId="7" borderId="0" xfId="0" applyFont="1" applyFill="1" applyAlignment="1">
      <alignment horizontal="center"/>
    </xf>
    <xf numFmtId="0" fontId="4" fillId="6" borderId="0" xfId="0" applyFont="1" applyFill="1" applyAlignment="1">
      <alignment horizontal="center"/>
    </xf>
    <xf numFmtId="0" fontId="4" fillId="0" borderId="0" xfId="0" applyFont="1" applyAlignment="1">
      <alignment horizontal="center"/>
    </xf>
    <xf numFmtId="0" fontId="4" fillId="0" borderId="0" xfId="0" applyFont="1" applyAlignment="1">
      <alignment/>
    </xf>
    <xf numFmtId="0" fontId="4" fillId="6" borderId="0" xfId="0" applyFont="1" applyFill="1" applyAlignment="1">
      <alignment horizontal="left"/>
    </xf>
    <xf numFmtId="192" fontId="4" fillId="5" borderId="0" xfId="0" applyNumberFormat="1" applyFont="1" applyFill="1" applyAlignment="1">
      <alignment/>
    </xf>
    <xf numFmtId="195" fontId="4" fillId="7" borderId="0" xfId="0" applyNumberFormat="1" applyFont="1" applyFill="1" applyAlignment="1">
      <alignment/>
    </xf>
    <xf numFmtId="192" fontId="4" fillId="7" borderId="0" xfId="0" applyNumberFormat="1" applyFont="1" applyFill="1" applyAlignment="1">
      <alignment/>
    </xf>
    <xf numFmtId="0" fontId="4" fillId="6" borderId="0" xfId="0" applyFont="1" applyFill="1" applyAlignment="1">
      <alignment horizontal="right"/>
    </xf>
    <xf numFmtId="192" fontId="4" fillId="6" borderId="0" xfId="0" applyNumberFormat="1" applyFont="1" applyFill="1" applyAlignment="1">
      <alignment horizontal="center"/>
    </xf>
    <xf numFmtId="0" fontId="5" fillId="4" borderId="0" xfId="0" applyFont="1" applyFill="1" applyAlignment="1">
      <alignment horizontal="center"/>
    </xf>
    <xf numFmtId="192" fontId="4" fillId="5" borderId="0" xfId="0" applyNumberFormat="1" applyFont="1" applyFill="1" applyAlignment="1">
      <alignment horizontal="center"/>
    </xf>
    <xf numFmtId="178" fontId="4" fillId="6" borderId="0" xfId="0" applyNumberFormat="1" applyFont="1" applyFill="1" applyAlignment="1">
      <alignment horizontal="center"/>
    </xf>
    <xf numFmtId="192" fontId="4" fillId="6" borderId="0" xfId="0" applyNumberFormat="1" applyFont="1" applyFill="1" applyAlignment="1">
      <alignment horizontal="right"/>
    </xf>
    <xf numFmtId="192" fontId="4" fillId="5" borderId="0" xfId="0" applyNumberFormat="1" applyFont="1" applyFill="1" applyAlignment="1">
      <alignment horizontal="right"/>
    </xf>
    <xf numFmtId="0" fontId="4" fillId="5" borderId="0" xfId="0" applyFont="1" applyFill="1" applyBorder="1" applyAlignment="1">
      <alignment horizontal="center"/>
    </xf>
    <xf numFmtId="0" fontId="6" fillId="5" borderId="0" xfId="0" applyFont="1" applyFill="1" applyAlignment="1">
      <alignment horizontal="center"/>
    </xf>
    <xf numFmtId="0" fontId="7" fillId="2" borderId="0" xfId="0" applyFont="1" applyFill="1" applyAlignment="1">
      <alignment horizontal="left"/>
    </xf>
    <xf numFmtId="0" fontId="4" fillId="6" borderId="0" xfId="0" applyNumberFormat="1" applyFont="1" applyFill="1" applyAlignment="1">
      <alignment horizontal="left"/>
    </xf>
    <xf numFmtId="197" fontId="9" fillId="6" borderId="0" xfId="0" applyNumberFormat="1" applyFont="1" applyFill="1" applyBorder="1" applyAlignment="1">
      <alignment horizontal="center"/>
    </xf>
    <xf numFmtId="197" fontId="9" fillId="6" borderId="0" xfId="0" applyNumberFormat="1" applyFont="1" applyFill="1" applyAlignment="1">
      <alignment horizontal="center"/>
    </xf>
    <xf numFmtId="0" fontId="8" fillId="6" borderId="0" xfId="0" applyNumberFormat="1" applyFont="1" applyFill="1" applyAlignment="1">
      <alignment/>
    </xf>
    <xf numFmtId="178" fontId="8" fillId="6" borderId="0" xfId="0" applyNumberFormat="1" applyFont="1" applyFill="1" applyAlignment="1">
      <alignment horizontal="center"/>
    </xf>
    <xf numFmtId="0" fontId="5" fillId="3" borderId="0" xfId="0" applyFont="1" applyFill="1" applyAlignment="1">
      <alignment horizontal="left"/>
    </xf>
    <xf numFmtId="192" fontId="20" fillId="8" borderId="0" xfId="19" applyNumberFormat="1" applyFill="1" applyAlignment="1">
      <alignment horizontal="center"/>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chartsheet" Target="chartsheets/sheet4.xml" /><Relationship Id="rId5" Type="http://schemas.openxmlformats.org/officeDocument/2006/relationships/worksheet" Target="worksheets/sheet1.xml" /><Relationship Id="rId6" Type="http://schemas.openxmlformats.org/officeDocument/2006/relationships/worksheet" Target="worksheets/sheet2.xml" /><Relationship Id="rId7" Type="http://schemas.openxmlformats.org/officeDocument/2006/relationships/worksheet" Target="worksheets/sheet3.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38387616"/>
        <c:axId val="9944225"/>
      </c:barChart>
      <c:catAx>
        <c:axId val="38387616"/>
        <c:scaling>
          <c:orientation val="minMax"/>
        </c:scaling>
        <c:axPos val="b"/>
        <c:delete val="0"/>
        <c:numFmt formatCode="General" sourceLinked="1"/>
        <c:majorTickMark val="out"/>
        <c:minorTickMark val="none"/>
        <c:tickLblPos val="nextTo"/>
        <c:crossAx val="9944225"/>
        <c:crosses val="autoZero"/>
        <c:auto val="1"/>
        <c:lblOffset val="100"/>
        <c:noMultiLvlLbl val="0"/>
      </c:catAx>
      <c:valAx>
        <c:axId val="9944225"/>
        <c:scaling>
          <c:orientation val="minMax"/>
        </c:scaling>
        <c:axPos val="l"/>
        <c:majorGridlines/>
        <c:delete val="0"/>
        <c:numFmt formatCode="General" sourceLinked="1"/>
        <c:majorTickMark val="out"/>
        <c:minorTickMark val="none"/>
        <c:tickLblPos val="nextTo"/>
        <c:crossAx val="3838761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22389162"/>
        <c:axId val="175867"/>
      </c:barChart>
      <c:catAx>
        <c:axId val="22389162"/>
        <c:scaling>
          <c:orientation val="minMax"/>
        </c:scaling>
        <c:axPos val="b"/>
        <c:delete val="0"/>
        <c:numFmt formatCode="General" sourceLinked="1"/>
        <c:majorTickMark val="out"/>
        <c:minorTickMark val="none"/>
        <c:tickLblPos val="nextTo"/>
        <c:crossAx val="175867"/>
        <c:crosses val="autoZero"/>
        <c:auto val="1"/>
        <c:lblOffset val="100"/>
        <c:noMultiLvlLbl val="0"/>
      </c:catAx>
      <c:valAx>
        <c:axId val="175867"/>
        <c:scaling>
          <c:orientation val="minMax"/>
        </c:scaling>
        <c:axPos val="l"/>
        <c:majorGridlines/>
        <c:delete val="0"/>
        <c:numFmt formatCode="General" sourceLinked="1"/>
        <c:majorTickMark val="out"/>
        <c:minorTickMark val="none"/>
        <c:tickLblPos val="nextTo"/>
        <c:crossAx val="22389162"/>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1582804"/>
        <c:axId val="14245237"/>
      </c:barChart>
      <c:catAx>
        <c:axId val="1582804"/>
        <c:scaling>
          <c:orientation val="minMax"/>
        </c:scaling>
        <c:axPos val="b"/>
        <c:delete val="0"/>
        <c:numFmt formatCode="General" sourceLinked="1"/>
        <c:majorTickMark val="out"/>
        <c:minorTickMark val="none"/>
        <c:tickLblPos val="nextTo"/>
        <c:crossAx val="14245237"/>
        <c:crosses val="autoZero"/>
        <c:auto val="1"/>
        <c:lblOffset val="100"/>
        <c:noMultiLvlLbl val="0"/>
      </c:catAx>
      <c:valAx>
        <c:axId val="14245237"/>
        <c:scaling>
          <c:orientation val="minMax"/>
        </c:scaling>
        <c:axPos val="l"/>
        <c:majorGridlines/>
        <c:delete val="0"/>
        <c:numFmt formatCode="General" sourceLinked="1"/>
        <c:majorTickMark val="out"/>
        <c:minorTickMark val="none"/>
        <c:tickLblPos val="nextTo"/>
        <c:crossAx val="158280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61098270"/>
        <c:axId val="13013519"/>
      </c:barChart>
      <c:catAx>
        <c:axId val="61098270"/>
        <c:scaling>
          <c:orientation val="minMax"/>
        </c:scaling>
        <c:axPos val="b"/>
        <c:delete val="0"/>
        <c:numFmt formatCode="General" sourceLinked="1"/>
        <c:majorTickMark val="out"/>
        <c:minorTickMark val="none"/>
        <c:tickLblPos val="nextTo"/>
        <c:crossAx val="13013519"/>
        <c:crosses val="autoZero"/>
        <c:auto val="1"/>
        <c:lblOffset val="100"/>
        <c:noMultiLvlLbl val="0"/>
      </c:catAx>
      <c:valAx>
        <c:axId val="13013519"/>
        <c:scaling>
          <c:orientation val="minMax"/>
        </c:scaling>
        <c:axPos val="l"/>
        <c:majorGridlines/>
        <c:delete val="0"/>
        <c:numFmt formatCode="General" sourceLinked="1"/>
        <c:majorTickMark val="out"/>
        <c:minorTickMark val="none"/>
        <c:tickLblPos val="nextTo"/>
        <c:crossAx val="6109827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439025" cy="34575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439025" cy="3457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439025" cy="34575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439025" cy="34575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quicksummer.com/exceldoc/Projections_in_504/resonaceactivityprojectionsJune.xls" TargetMode="External" /><Relationship Id="rId2" Type="http://schemas.openxmlformats.org/officeDocument/2006/relationships/hyperlink" Target="http://www.quicksummer.com/exceldoc/Projections_in_504/resonacecashflowprojectionsJune.xls" TargetMode="External" /><Relationship Id="rId3" Type="http://schemas.openxmlformats.org/officeDocument/2006/relationships/comments" Target="../comments5.xml" /><Relationship Id="rId4"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M145"/>
  <sheetViews>
    <sheetView tabSelected="1" zoomScale="85" zoomScaleNormal="85" workbookViewId="0" topLeftCell="A1">
      <selection activeCell="A1" sqref="A1"/>
    </sheetView>
  </sheetViews>
  <sheetFormatPr defaultColWidth="9.140625" defaultRowHeight="12.75"/>
  <cols>
    <col min="1" max="1" width="24.8515625" style="0" customWidth="1"/>
    <col min="2" max="2" width="6.00390625" style="0" customWidth="1"/>
    <col min="3" max="3" width="11.57421875" style="0" bestFit="1" customWidth="1"/>
    <col min="4" max="4" width="11.28125" style="0" bestFit="1" customWidth="1"/>
    <col min="5" max="5" width="11.57421875" style="0" bestFit="1" customWidth="1"/>
    <col min="6" max="6" width="11.8515625" style="0" bestFit="1" customWidth="1"/>
    <col min="7" max="7" width="10.28125" style="0" bestFit="1" customWidth="1"/>
    <col min="8" max="8" width="10.8515625" style="0" bestFit="1" customWidth="1"/>
    <col min="9" max="9" width="11.28125" style="0" bestFit="1" customWidth="1"/>
    <col min="10" max="10" width="11.28125" style="0" customWidth="1"/>
    <col min="11" max="11" width="10.28125" style="0" bestFit="1" customWidth="1"/>
  </cols>
  <sheetData>
    <row r="1" spans="1:13" ht="20.25">
      <c r="A1" s="25" t="s">
        <v>187</v>
      </c>
      <c r="B1" s="1"/>
      <c r="C1" s="1"/>
      <c r="D1" s="1"/>
      <c r="E1" s="1"/>
      <c r="F1" s="47" t="s">
        <v>162</v>
      </c>
      <c r="G1" s="1"/>
      <c r="H1" s="16"/>
      <c r="I1" s="6" t="s">
        <v>130</v>
      </c>
      <c r="J1" s="16"/>
      <c r="K1" s="16"/>
      <c r="L1" s="50"/>
      <c r="M1" s="50"/>
    </row>
    <row r="2" spans="1:13" ht="12.75">
      <c r="A2" s="2" t="s">
        <v>117</v>
      </c>
      <c r="B2" s="50"/>
      <c r="C2" s="60" t="s">
        <v>188</v>
      </c>
      <c r="D2" s="60"/>
      <c r="E2" s="60"/>
      <c r="F2" s="60"/>
      <c r="G2" s="50"/>
      <c r="H2" s="3" t="s">
        <v>141</v>
      </c>
      <c r="I2" s="3" t="s">
        <v>138</v>
      </c>
      <c r="J2" s="3" t="s">
        <v>4</v>
      </c>
      <c r="K2" s="24"/>
      <c r="L2" s="50"/>
      <c r="M2" s="50"/>
    </row>
    <row r="3" spans="1:13" ht="15.75">
      <c r="A3" s="10"/>
      <c r="B3" s="50"/>
      <c r="C3" s="60" t="s">
        <v>189</v>
      </c>
      <c r="D3" s="60"/>
      <c r="E3" s="60"/>
      <c r="F3" s="60"/>
      <c r="G3" s="50"/>
      <c r="H3" s="97" t="s">
        <v>184</v>
      </c>
      <c r="I3" s="97" t="s">
        <v>140</v>
      </c>
      <c r="J3" s="97" t="s">
        <v>140</v>
      </c>
      <c r="K3" s="24"/>
      <c r="L3" s="50"/>
      <c r="M3" s="50"/>
    </row>
    <row r="4" spans="1:13" ht="15.75">
      <c r="A4" s="10"/>
      <c r="B4" s="50"/>
      <c r="C4" s="60" t="s">
        <v>190</v>
      </c>
      <c r="D4" s="60"/>
      <c r="E4" s="60"/>
      <c r="F4" s="60"/>
      <c r="G4" s="50"/>
      <c r="H4" s="3" t="s">
        <v>173</v>
      </c>
      <c r="I4" s="3" t="s">
        <v>174</v>
      </c>
      <c r="J4" s="3" t="s">
        <v>175</v>
      </c>
      <c r="K4" s="24"/>
      <c r="L4" s="50"/>
      <c r="M4" s="50"/>
    </row>
    <row r="5" spans="1:13" ht="15.75">
      <c r="A5" s="10"/>
      <c r="B5" s="50"/>
      <c r="C5" s="60" t="s">
        <v>191</v>
      </c>
      <c r="D5" s="60"/>
      <c r="E5" s="60"/>
      <c r="F5" s="60"/>
      <c r="G5" s="50"/>
      <c r="H5" s="97" t="s">
        <v>140</v>
      </c>
      <c r="I5" s="42" t="s">
        <v>140</v>
      </c>
      <c r="J5" s="42" t="s">
        <v>140</v>
      </c>
      <c r="K5" s="24"/>
      <c r="L5" s="50"/>
      <c r="M5" s="50"/>
    </row>
    <row r="6" spans="1:13" ht="12.75">
      <c r="A6" s="2"/>
      <c r="B6" s="50"/>
      <c r="C6" s="60"/>
      <c r="D6" s="60"/>
      <c r="E6" s="60"/>
      <c r="F6" s="60"/>
      <c r="G6" s="50"/>
      <c r="H6" s="50"/>
      <c r="I6" s="50"/>
      <c r="J6" s="50"/>
      <c r="K6" s="24"/>
      <c r="L6" s="50"/>
      <c r="M6" s="50"/>
    </row>
    <row r="7" spans="1:13" ht="15">
      <c r="A7" s="2" t="s">
        <v>15</v>
      </c>
      <c r="B7" s="50"/>
      <c r="C7" s="85" t="s">
        <v>192</v>
      </c>
      <c r="D7" s="60"/>
      <c r="E7" s="60"/>
      <c r="F7" s="60"/>
      <c r="G7" s="46" t="s">
        <v>73</v>
      </c>
      <c r="H7" s="2" t="s">
        <v>1</v>
      </c>
      <c r="I7" s="1"/>
      <c r="J7" s="1"/>
      <c r="K7" s="24"/>
      <c r="L7" s="50"/>
      <c r="M7" s="50"/>
    </row>
    <row r="8" spans="1:13" ht="12.75">
      <c r="A8" s="2"/>
      <c r="B8" s="50"/>
      <c r="C8" s="60" t="s">
        <v>193</v>
      </c>
      <c r="D8" s="60"/>
      <c r="E8" s="60"/>
      <c r="F8" s="60"/>
      <c r="G8" s="2"/>
      <c r="H8" s="2"/>
      <c r="I8" s="3" t="s">
        <v>136</v>
      </c>
      <c r="J8" s="3" t="s">
        <v>131</v>
      </c>
      <c r="K8" s="24"/>
      <c r="L8" s="50"/>
      <c r="M8" s="50"/>
    </row>
    <row r="9" spans="1:13" ht="12.75">
      <c r="A9" s="2"/>
      <c r="B9" s="50"/>
      <c r="C9" s="60" t="s">
        <v>194</v>
      </c>
      <c r="D9" s="60"/>
      <c r="E9" s="60"/>
      <c r="F9" s="60"/>
      <c r="G9" s="2" t="s">
        <v>0</v>
      </c>
      <c r="H9" s="2"/>
      <c r="I9" s="81" t="s">
        <v>195</v>
      </c>
      <c r="J9" s="42">
        <v>9</v>
      </c>
      <c r="K9" s="24"/>
      <c r="L9" s="50"/>
      <c r="M9" s="50"/>
    </row>
    <row r="10" spans="1:13" ht="12.75">
      <c r="A10" s="2"/>
      <c r="B10" s="50"/>
      <c r="C10" s="60"/>
      <c r="D10" s="60"/>
      <c r="E10" s="60"/>
      <c r="F10" s="60"/>
      <c r="G10" s="2"/>
      <c r="H10" s="2"/>
      <c r="I10" s="81" t="s">
        <v>204</v>
      </c>
      <c r="J10" s="42">
        <v>10</v>
      </c>
      <c r="K10" s="24"/>
      <c r="L10" s="50"/>
      <c r="M10" s="50"/>
    </row>
    <row r="11" spans="1:13" ht="12.75">
      <c r="A11" s="2"/>
      <c r="B11" s="50"/>
      <c r="C11" s="60"/>
      <c r="D11" s="60"/>
      <c r="E11" s="60"/>
      <c r="F11" s="60"/>
      <c r="G11" s="2" t="s">
        <v>2</v>
      </c>
      <c r="H11" s="2"/>
      <c r="I11" s="81" t="s">
        <v>196</v>
      </c>
      <c r="J11" s="42">
        <v>9</v>
      </c>
      <c r="K11" s="24"/>
      <c r="L11" s="50"/>
      <c r="M11" s="50"/>
    </row>
    <row r="12" spans="1:13" ht="12.75">
      <c r="A12" s="2" t="s">
        <v>3</v>
      </c>
      <c r="B12" s="51"/>
      <c r="C12" s="42" t="s">
        <v>185</v>
      </c>
      <c r="D12" s="42">
        <v>2005</v>
      </c>
      <c r="E12" s="60"/>
      <c r="F12" s="60"/>
      <c r="G12" s="2"/>
      <c r="H12" s="2"/>
      <c r="I12" s="81" t="s">
        <v>197</v>
      </c>
      <c r="J12" s="42">
        <v>7</v>
      </c>
      <c r="K12" s="24"/>
      <c r="L12" s="50"/>
      <c r="M12" s="50"/>
    </row>
    <row r="13" spans="1:13" ht="12.75">
      <c r="A13" s="2"/>
      <c r="B13" s="50"/>
      <c r="C13" s="50"/>
      <c r="D13" s="50"/>
      <c r="E13" s="50"/>
      <c r="F13" s="50"/>
      <c r="G13" s="50"/>
      <c r="H13" s="50"/>
      <c r="I13" s="57">
        <f>(J123+J126+J129)/3</f>
        <v>9</v>
      </c>
      <c r="J13" s="52">
        <f>ROUND(J14,0)</f>
        <v>9</v>
      </c>
      <c r="K13" s="24"/>
      <c r="L13" s="50"/>
      <c r="M13" s="50"/>
    </row>
    <row r="14" spans="1:13" ht="15.75">
      <c r="A14" s="10" t="s">
        <v>72</v>
      </c>
      <c r="B14" s="50"/>
      <c r="C14" s="3" t="s">
        <v>132</v>
      </c>
      <c r="D14" s="3" t="s">
        <v>102</v>
      </c>
      <c r="E14" s="3" t="s">
        <v>103</v>
      </c>
      <c r="F14" s="3" t="s">
        <v>71</v>
      </c>
      <c r="G14" s="3" t="s">
        <v>70</v>
      </c>
      <c r="H14" s="5" t="s">
        <v>99</v>
      </c>
      <c r="I14" s="3" t="s">
        <v>100</v>
      </c>
      <c r="J14" s="31">
        <f>SUM(J9:J12)/4</f>
        <v>8.75</v>
      </c>
      <c r="K14" s="24"/>
      <c r="L14" s="50"/>
      <c r="M14" s="50"/>
    </row>
    <row r="15" spans="1:13" ht="12.75">
      <c r="A15" s="2"/>
      <c r="B15" s="50"/>
      <c r="C15" s="98">
        <v>9</v>
      </c>
      <c r="D15" s="52">
        <f>ROUND(D16,0)</f>
        <v>9</v>
      </c>
      <c r="E15" s="52">
        <f>ROUND(E16,0)</f>
        <v>9</v>
      </c>
      <c r="F15" s="98">
        <v>8</v>
      </c>
      <c r="G15" s="98">
        <v>7</v>
      </c>
      <c r="H15" s="52">
        <f>ROUND(I130,0)</f>
        <v>8</v>
      </c>
      <c r="I15" s="52">
        <f>ROUND(I13,0)</f>
        <v>9</v>
      </c>
      <c r="J15" s="53"/>
      <c r="K15" s="24"/>
      <c r="L15" s="50"/>
      <c r="M15" s="50"/>
    </row>
    <row r="16" spans="1:13" ht="13.5" thickBot="1">
      <c r="A16" s="2"/>
      <c r="B16" s="50"/>
      <c r="C16" s="54"/>
      <c r="D16" s="55">
        <f>(D113+D115+D117)/3</f>
        <v>9</v>
      </c>
      <c r="E16" s="55">
        <f>(I113+I115+I117)/3</f>
        <v>8.666666666666666</v>
      </c>
      <c r="F16" s="56"/>
      <c r="G16" s="50"/>
      <c r="H16" s="50"/>
      <c r="I16" s="50"/>
      <c r="J16" s="55">
        <f>(SUM(C15:I15)+J13)/8</f>
        <v>8.5</v>
      </c>
      <c r="K16" s="24"/>
      <c r="L16" s="50"/>
      <c r="M16" s="50"/>
    </row>
    <row r="17" spans="1:13" ht="13.5" thickBot="1">
      <c r="A17" s="2" t="s">
        <v>74</v>
      </c>
      <c r="B17" s="50"/>
      <c r="C17" s="28" t="s">
        <v>104</v>
      </c>
      <c r="D17" s="2"/>
      <c r="E17" s="2"/>
      <c r="F17" s="2"/>
      <c r="G17" s="27">
        <f>ROUND(J16,0)</f>
        <v>9</v>
      </c>
      <c r="H17" s="50"/>
      <c r="I17" s="50"/>
      <c r="J17" s="50"/>
      <c r="K17" s="24"/>
      <c r="L17" s="50"/>
      <c r="M17" s="50"/>
    </row>
    <row r="18" spans="1:13" ht="13.5" thickBot="1">
      <c r="A18" s="2" t="s">
        <v>116</v>
      </c>
      <c r="B18" s="50"/>
      <c r="C18" s="40"/>
      <c r="D18" s="27">
        <f>ROUND(J111,0)</f>
        <v>5</v>
      </c>
      <c r="E18" s="56"/>
      <c r="F18" s="50"/>
      <c r="G18" s="50"/>
      <c r="H18" s="50"/>
      <c r="I18" s="50"/>
      <c r="J18" s="50"/>
      <c r="K18" s="24"/>
      <c r="L18" s="50"/>
      <c r="M18" s="50"/>
    </row>
    <row r="19" spans="1:13" ht="12.75">
      <c r="A19" s="2"/>
      <c r="B19" s="50"/>
      <c r="C19" s="50"/>
      <c r="D19" s="50"/>
      <c r="E19" s="50"/>
      <c r="F19" s="50"/>
      <c r="G19" s="50"/>
      <c r="H19" s="50"/>
      <c r="I19" s="50"/>
      <c r="J19" s="50"/>
      <c r="K19" s="50"/>
      <c r="L19" s="50"/>
      <c r="M19" s="50"/>
    </row>
    <row r="20" spans="1:13" ht="15.75">
      <c r="A20" s="10" t="s">
        <v>68</v>
      </c>
      <c r="B20" s="50"/>
      <c r="C20" s="50"/>
      <c r="D20" s="50"/>
      <c r="E20" s="16"/>
      <c r="F20" s="7" t="s">
        <v>20</v>
      </c>
      <c r="G20" s="16"/>
      <c r="H20" s="50"/>
      <c r="I20" s="1"/>
      <c r="J20" s="1"/>
      <c r="K20" s="1"/>
      <c r="L20" s="50"/>
      <c r="M20" s="50"/>
    </row>
    <row r="21" spans="1:13" ht="12.75">
      <c r="A21" s="2" t="s">
        <v>16</v>
      </c>
      <c r="B21" s="50"/>
      <c r="C21" s="5" t="s">
        <v>198</v>
      </c>
      <c r="D21" s="5"/>
      <c r="E21" s="5"/>
      <c r="F21" s="96">
        <v>66.6</v>
      </c>
      <c r="G21" s="50"/>
      <c r="H21" s="50"/>
      <c r="I21" s="1"/>
      <c r="J21" s="1"/>
      <c r="K21" s="1"/>
      <c r="L21" s="50"/>
      <c r="M21" s="50"/>
    </row>
    <row r="22" spans="1:13" ht="12.75">
      <c r="A22" s="2" t="s">
        <v>17</v>
      </c>
      <c r="B22" s="50"/>
      <c r="C22" s="5" t="s">
        <v>199</v>
      </c>
      <c r="D22" s="5"/>
      <c r="E22" s="5"/>
      <c r="F22" s="96">
        <v>101.2</v>
      </c>
      <c r="G22" s="50"/>
      <c r="H22" s="50"/>
      <c r="I22" s="1"/>
      <c r="J22" s="1"/>
      <c r="K22" s="1"/>
      <c r="L22" s="50"/>
      <c r="M22" s="50"/>
    </row>
    <row r="23" spans="1:13" ht="12.75">
      <c r="A23" s="2"/>
      <c r="B23" s="50"/>
      <c r="C23" s="5" t="s">
        <v>200</v>
      </c>
      <c r="D23" s="5"/>
      <c r="E23" s="5"/>
      <c r="F23" s="96">
        <v>312.8</v>
      </c>
      <c r="G23" s="50"/>
      <c r="H23" s="1"/>
      <c r="I23" s="1"/>
      <c r="J23" s="1"/>
      <c r="K23" s="1"/>
      <c r="L23" s="50"/>
      <c r="M23" s="50"/>
    </row>
    <row r="24" spans="1:13" ht="12.75">
      <c r="A24" s="2"/>
      <c r="B24" s="50"/>
      <c r="C24" s="5" t="s">
        <v>201</v>
      </c>
      <c r="D24" s="5"/>
      <c r="E24" s="5"/>
      <c r="F24" s="96">
        <v>44.7</v>
      </c>
      <c r="G24" s="50"/>
      <c r="H24" s="1"/>
      <c r="I24" s="1"/>
      <c r="J24" s="1"/>
      <c r="K24" s="1"/>
      <c r="L24" s="50"/>
      <c r="M24" s="50"/>
    </row>
    <row r="25" spans="1:13" ht="12.75">
      <c r="A25" s="2"/>
      <c r="B25" s="50"/>
      <c r="C25" s="5" t="s">
        <v>202</v>
      </c>
      <c r="D25" s="5"/>
      <c r="E25" s="5"/>
      <c r="F25" s="96">
        <v>191.4</v>
      </c>
      <c r="G25" s="50"/>
      <c r="H25" s="1"/>
      <c r="I25" s="1"/>
      <c r="J25" s="1"/>
      <c r="K25" s="1"/>
      <c r="L25" s="50"/>
      <c r="M25" s="50"/>
    </row>
    <row r="26" spans="1:13" ht="13.5" thickBot="1">
      <c r="A26" s="2"/>
      <c r="B26" s="50"/>
      <c r="C26" s="5" t="s">
        <v>203</v>
      </c>
      <c r="D26" s="5"/>
      <c r="E26" s="5"/>
      <c r="F26" s="96">
        <v>245.8</v>
      </c>
      <c r="G26" s="50"/>
      <c r="H26" s="1"/>
      <c r="I26" s="1"/>
      <c r="J26" s="1"/>
      <c r="K26" s="1"/>
      <c r="L26" s="50"/>
      <c r="M26" s="50"/>
    </row>
    <row r="27" spans="1:13" ht="13.5" thickBot="1">
      <c r="A27" s="1"/>
      <c r="B27" s="50"/>
      <c r="C27" s="6" t="s">
        <v>129</v>
      </c>
      <c r="D27" s="5"/>
      <c r="E27" s="5"/>
      <c r="F27" s="21">
        <f>SUM(F21:F26)/6</f>
        <v>160.41666666666666</v>
      </c>
      <c r="G27" s="50"/>
      <c r="H27" s="1"/>
      <c r="I27" s="1"/>
      <c r="J27" s="1"/>
      <c r="K27" s="1"/>
      <c r="L27" s="50"/>
      <c r="M27" s="50"/>
    </row>
    <row r="28" spans="1:13" ht="12.75">
      <c r="A28" s="1"/>
      <c r="B28" s="50"/>
      <c r="C28" s="50"/>
      <c r="D28" s="50"/>
      <c r="E28" s="50"/>
      <c r="F28" s="59"/>
      <c r="G28" s="50"/>
      <c r="H28" s="50"/>
      <c r="I28" s="50"/>
      <c r="J28" s="50"/>
      <c r="K28" s="50"/>
      <c r="L28" s="50"/>
      <c r="M28" s="50"/>
    </row>
    <row r="29" spans="1:13" ht="15.75">
      <c r="A29" s="10" t="s">
        <v>35</v>
      </c>
      <c r="B29" s="1"/>
      <c r="C29" s="1"/>
      <c r="D29" s="1"/>
      <c r="E29" s="1"/>
      <c r="F29" s="1"/>
      <c r="G29" s="1"/>
      <c r="H29" s="1"/>
      <c r="I29" s="1"/>
      <c r="J29" s="1"/>
      <c r="K29" s="1"/>
      <c r="L29" s="50"/>
      <c r="M29" s="50"/>
    </row>
    <row r="30" spans="1:13" ht="12.75">
      <c r="A30" s="2"/>
      <c r="B30" s="50"/>
      <c r="C30" s="60"/>
      <c r="D30" s="60"/>
      <c r="E30" s="50"/>
      <c r="F30" s="60"/>
      <c r="G30" s="50"/>
      <c r="H30" s="50"/>
      <c r="I30" s="50"/>
      <c r="J30" s="50"/>
      <c r="K30" s="50"/>
      <c r="L30" s="50"/>
      <c r="M30" s="50"/>
    </row>
    <row r="31" spans="1:13" ht="12.75">
      <c r="A31" s="2" t="s">
        <v>4</v>
      </c>
      <c r="B31" s="50"/>
      <c r="C31" s="61">
        <f>(D58/2)</f>
        <v>40.104166666666664</v>
      </c>
      <c r="D31" s="50"/>
      <c r="E31" s="50"/>
      <c r="F31" s="62">
        <f>C31*I34</f>
        <v>0</v>
      </c>
      <c r="G31" s="50"/>
      <c r="H31" s="50"/>
      <c r="I31" s="50"/>
      <c r="J31" s="50"/>
      <c r="K31" s="50"/>
      <c r="L31" s="50"/>
      <c r="M31" s="50"/>
    </row>
    <row r="32" spans="1:13" ht="12.75">
      <c r="A32" s="2"/>
      <c r="B32" s="50"/>
      <c r="C32" s="63"/>
      <c r="D32" s="50"/>
      <c r="E32" s="50"/>
      <c r="F32" s="50"/>
      <c r="G32" s="50"/>
      <c r="H32" s="50"/>
      <c r="I32" s="50"/>
      <c r="J32" s="50"/>
      <c r="K32" s="24"/>
      <c r="L32" s="50"/>
      <c r="M32" s="50"/>
    </row>
    <row r="33" spans="1:13" ht="12.75">
      <c r="A33" s="2" t="s">
        <v>5</v>
      </c>
      <c r="B33" s="50"/>
      <c r="C33" s="8" t="s">
        <v>21</v>
      </c>
      <c r="D33" s="5"/>
      <c r="E33" s="3" t="s">
        <v>22</v>
      </c>
      <c r="F33" s="5"/>
      <c r="G33" s="3" t="s">
        <v>23</v>
      </c>
      <c r="H33" s="5"/>
      <c r="I33" s="3" t="s">
        <v>63</v>
      </c>
      <c r="J33" s="50"/>
      <c r="K33" s="24"/>
      <c r="L33" s="50"/>
      <c r="M33" s="50"/>
    </row>
    <row r="34" spans="1:13" ht="12.75">
      <c r="A34" s="2"/>
      <c r="B34" s="50"/>
      <c r="C34" s="20">
        <f>C31+E34+G34+I35</f>
        <v>46.76145833333333</v>
      </c>
      <c r="D34" s="50"/>
      <c r="E34" s="95">
        <f>C31*6/100</f>
        <v>2.40625</v>
      </c>
      <c r="F34" s="60"/>
      <c r="G34" s="74">
        <f>(C31+E34)*10/100</f>
        <v>4.251041666666667</v>
      </c>
      <c r="H34" s="60"/>
      <c r="I34" s="49">
        <v>0</v>
      </c>
      <c r="J34" s="50"/>
      <c r="K34" s="24"/>
      <c r="L34" s="50"/>
      <c r="M34" s="50"/>
    </row>
    <row r="35" spans="1:13" ht="12.75">
      <c r="A35" s="2"/>
      <c r="B35" s="50"/>
      <c r="C35" s="4"/>
      <c r="D35" s="50"/>
      <c r="E35" s="62">
        <f>E34/2</f>
        <v>1.203125</v>
      </c>
      <c r="F35" s="64"/>
      <c r="G35" s="50"/>
      <c r="H35" s="50"/>
      <c r="I35" s="15">
        <f>C31*I34/100</f>
        <v>0</v>
      </c>
      <c r="J35" s="50"/>
      <c r="K35" s="24"/>
      <c r="L35" s="50"/>
      <c r="M35" s="50"/>
    </row>
    <row r="36" spans="1:13" ht="12.75">
      <c r="A36" s="2" t="s">
        <v>36</v>
      </c>
      <c r="B36" s="50"/>
      <c r="C36" s="6" t="s">
        <v>110</v>
      </c>
      <c r="D36" s="5"/>
      <c r="E36" s="3" t="s">
        <v>24</v>
      </c>
      <c r="F36" s="9" t="s">
        <v>25</v>
      </c>
      <c r="G36" s="9" t="s">
        <v>28</v>
      </c>
      <c r="H36" s="3" t="s">
        <v>107</v>
      </c>
      <c r="I36" s="3" t="s">
        <v>29</v>
      </c>
      <c r="J36" s="50"/>
      <c r="K36" s="24"/>
      <c r="L36" s="50"/>
      <c r="M36" s="50"/>
    </row>
    <row r="37" spans="1:13" ht="12.75">
      <c r="A37" s="2"/>
      <c r="B37" s="50"/>
      <c r="C37" s="50"/>
      <c r="D37" s="50"/>
      <c r="E37" s="91">
        <f>C34*I85/100</f>
        <v>5.611374999999999</v>
      </c>
      <c r="F37" s="91">
        <f>C34*I89/100</f>
        <v>3.507109375</v>
      </c>
      <c r="G37" s="91">
        <f>C34*I86/100</f>
        <v>4.676145833333333</v>
      </c>
      <c r="H37" s="74">
        <f>C34*I87/100</f>
        <v>3.7409166666666662</v>
      </c>
      <c r="I37" s="74">
        <f>C34*I88/100</f>
        <v>3.7409166666666662</v>
      </c>
      <c r="J37" s="50"/>
      <c r="K37" s="18"/>
      <c r="L37" s="50"/>
      <c r="M37" s="50"/>
    </row>
    <row r="38" spans="1:13" ht="12.75">
      <c r="A38" s="2"/>
      <c r="B38" s="50"/>
      <c r="C38" s="66"/>
      <c r="D38" s="67"/>
      <c r="E38" s="67">
        <f>E37/10</f>
        <v>0.5611374999999998</v>
      </c>
      <c r="F38" s="67">
        <f>F37/10</f>
        <v>0.35071093750000004</v>
      </c>
      <c r="G38" s="67">
        <f>G37/10</f>
        <v>0.4676145833333333</v>
      </c>
      <c r="H38" s="67">
        <f>H37/10</f>
        <v>0.3740916666666666</v>
      </c>
      <c r="I38" s="67">
        <f>I37/10</f>
        <v>0.3740916666666666</v>
      </c>
      <c r="J38" s="104"/>
      <c r="K38" s="18"/>
      <c r="L38" s="50"/>
      <c r="M38" s="50"/>
    </row>
    <row r="39" spans="1:13" ht="12.75">
      <c r="A39" s="2"/>
      <c r="B39" s="50"/>
      <c r="C39" s="50"/>
      <c r="D39" s="3" t="s">
        <v>61</v>
      </c>
      <c r="E39" s="3" t="s">
        <v>59</v>
      </c>
      <c r="F39" s="9" t="s">
        <v>60</v>
      </c>
      <c r="G39" s="3" t="s">
        <v>109</v>
      </c>
      <c r="H39" s="3" t="s">
        <v>108</v>
      </c>
      <c r="I39" s="9" t="s">
        <v>62</v>
      </c>
      <c r="J39" s="68"/>
      <c r="K39" s="18"/>
      <c r="L39" s="50"/>
      <c r="M39" s="50"/>
    </row>
    <row r="40" spans="1:13" ht="12.75">
      <c r="A40" s="2"/>
      <c r="B40" s="50"/>
      <c r="C40" s="50"/>
      <c r="D40" s="74">
        <f>C34*I90/100</f>
        <v>3.273302083333333</v>
      </c>
      <c r="E40" s="74">
        <f>C34*I94/100</f>
        <v>1.8704583333333331</v>
      </c>
      <c r="F40" s="74">
        <f>C34*I91/100</f>
        <v>2.8056874999999994</v>
      </c>
      <c r="G40" s="91">
        <f>C34*I92/100</f>
        <v>2.3380729166666665</v>
      </c>
      <c r="H40" s="91">
        <f>C34*I93/100*0</f>
        <v>0</v>
      </c>
      <c r="I40" s="83" t="s">
        <v>111</v>
      </c>
      <c r="J40" s="68"/>
      <c r="K40" s="18"/>
      <c r="L40" s="50"/>
      <c r="M40" s="50"/>
    </row>
    <row r="41" spans="1:13" ht="12.75">
      <c r="A41" s="2"/>
      <c r="B41" s="50"/>
      <c r="C41" s="64"/>
      <c r="D41" s="103">
        <f>D40/10</f>
        <v>0.32733020833333326</v>
      </c>
      <c r="E41" s="57">
        <f>E40/10</f>
        <v>0.1870458333333333</v>
      </c>
      <c r="F41" s="67">
        <f>F40/10</f>
        <v>0.2805687499999999</v>
      </c>
      <c r="G41" s="55">
        <f>G40/10</f>
        <v>0.23380729166666664</v>
      </c>
      <c r="H41" s="67">
        <f>H40/10</f>
        <v>0</v>
      </c>
      <c r="I41" s="104"/>
      <c r="J41" s="68"/>
      <c r="K41" s="18"/>
      <c r="L41" s="50"/>
      <c r="M41" s="50"/>
    </row>
    <row r="42" spans="1:13" ht="12.75">
      <c r="A42" s="2"/>
      <c r="B42" s="50"/>
      <c r="C42" s="8" t="s">
        <v>112</v>
      </c>
      <c r="D42" s="7" t="s">
        <v>210</v>
      </c>
      <c r="E42" s="105" t="s">
        <v>212</v>
      </c>
      <c r="F42" s="35" t="s">
        <v>213</v>
      </c>
      <c r="G42" s="34"/>
      <c r="H42" s="3" t="s">
        <v>26</v>
      </c>
      <c r="I42" s="3" t="s">
        <v>27</v>
      </c>
      <c r="J42" s="68"/>
      <c r="K42" s="18"/>
      <c r="L42" s="50"/>
      <c r="M42" s="50"/>
    </row>
    <row r="43" spans="1:13" ht="12.75">
      <c r="A43" s="2"/>
      <c r="B43" s="50"/>
      <c r="C43" s="19">
        <f>SUM(E37:I37)+D40+E40+F40+G40+H40+H43+I43-D43</f>
        <v>42.763984375</v>
      </c>
      <c r="D43" s="73">
        <f>SUM(E38:I38)+SUM(D41:H41)+H44+I44-E43</f>
        <v>2.7999999999999994</v>
      </c>
      <c r="E43" s="74">
        <f>SUM(E38:I38)+SUM(D41:H41)</f>
        <v>3.1563984374999996</v>
      </c>
      <c r="F43" s="64"/>
      <c r="G43" s="64"/>
      <c r="H43" s="94">
        <f>C86</f>
        <v>7</v>
      </c>
      <c r="I43" s="94">
        <f>C87</f>
        <v>7</v>
      </c>
      <c r="J43" s="68"/>
      <c r="K43" s="18"/>
      <c r="L43" s="50"/>
      <c r="M43" s="50"/>
    </row>
    <row r="44" spans="1:13" ht="12.75">
      <c r="A44" s="2"/>
      <c r="B44" s="55">
        <f>1*0</f>
        <v>0</v>
      </c>
      <c r="C44" s="67">
        <v>4</v>
      </c>
      <c r="D44" s="67"/>
      <c r="E44" s="67"/>
      <c r="F44" s="67"/>
      <c r="G44" s="69"/>
      <c r="H44" s="67">
        <f>H43/5</f>
        <v>1.4</v>
      </c>
      <c r="I44" s="67">
        <f>I43/5</f>
        <v>1.4</v>
      </c>
      <c r="J44" s="68"/>
      <c r="K44" s="18"/>
      <c r="L44" s="50"/>
      <c r="M44" s="50"/>
    </row>
    <row r="45" spans="1:13" ht="12.75">
      <c r="A45" s="2" t="s">
        <v>30</v>
      </c>
      <c r="B45" s="50"/>
      <c r="C45" s="12" t="s">
        <v>21</v>
      </c>
      <c r="D45" s="5"/>
      <c r="E45" s="9" t="s">
        <v>58</v>
      </c>
      <c r="F45" s="9" t="s">
        <v>57</v>
      </c>
      <c r="G45" s="13" t="s">
        <v>64</v>
      </c>
      <c r="H45" s="9" t="s">
        <v>180</v>
      </c>
      <c r="I45" s="3" t="s">
        <v>181</v>
      </c>
      <c r="J45" s="68"/>
      <c r="K45" s="18"/>
      <c r="L45" s="50"/>
      <c r="M45" s="50"/>
    </row>
    <row r="46" spans="1:13" ht="12.75">
      <c r="A46" s="2"/>
      <c r="B46" s="50"/>
      <c r="C46" s="19">
        <f>SUM(E46:F46)</f>
        <v>4.745657291666664</v>
      </c>
      <c r="D46" s="55">
        <f>C46*H46/100+C46</f>
        <v>7.118485937499996</v>
      </c>
      <c r="E46" s="91">
        <f>C34-C43</f>
        <v>3.9974739583333303</v>
      </c>
      <c r="F46" s="91">
        <f>((F27/4)+(E34+G34))*(G46/100)</f>
        <v>0.7481833333333333</v>
      </c>
      <c r="G46" s="49">
        <v>1.6</v>
      </c>
      <c r="H46" s="49">
        <v>50</v>
      </c>
      <c r="I46" s="83">
        <f>ROUND(D46,1)</f>
        <v>7.1</v>
      </c>
      <c r="J46" s="68"/>
      <c r="K46" s="18"/>
      <c r="L46" s="50"/>
      <c r="M46" s="50"/>
    </row>
    <row r="47" spans="1:13" ht="13.5" thickBot="1">
      <c r="A47" s="2"/>
      <c r="B47" s="50"/>
      <c r="C47" s="66"/>
      <c r="D47" s="65"/>
      <c r="E47" s="65"/>
      <c r="F47" s="50"/>
      <c r="G47" s="64"/>
      <c r="H47" s="55"/>
      <c r="I47" s="55"/>
      <c r="J47" s="68"/>
      <c r="K47" s="18"/>
      <c r="L47" s="50"/>
      <c r="M47" s="50"/>
    </row>
    <row r="48" spans="1:13" ht="13.5" thickBot="1">
      <c r="A48" s="2" t="s">
        <v>34</v>
      </c>
      <c r="B48" s="50"/>
      <c r="C48" s="36">
        <f>C43+E46+F46</f>
        <v>47.50964166666666</v>
      </c>
      <c r="D48" s="65"/>
      <c r="E48" s="65"/>
      <c r="F48" s="65"/>
      <c r="G48" s="64"/>
      <c r="H48" s="55"/>
      <c r="I48" s="55"/>
      <c r="J48" s="68"/>
      <c r="K48" s="18"/>
      <c r="L48" s="50"/>
      <c r="M48" s="50"/>
    </row>
    <row r="49" spans="1:13" ht="12.75">
      <c r="A49" s="2"/>
      <c r="B49" s="50"/>
      <c r="D49" s="50"/>
      <c r="E49" s="50"/>
      <c r="F49" s="50"/>
      <c r="G49" s="50"/>
      <c r="H49" s="50"/>
      <c r="I49" s="50"/>
      <c r="J49" s="68"/>
      <c r="K49" s="18"/>
      <c r="L49" s="50"/>
      <c r="M49" s="50"/>
    </row>
    <row r="50" spans="1:13" ht="15.75">
      <c r="A50" s="10" t="s">
        <v>118</v>
      </c>
      <c r="B50" s="50"/>
      <c r="C50" s="7" t="s">
        <v>119</v>
      </c>
      <c r="D50" s="3" t="s">
        <v>156</v>
      </c>
      <c r="E50" s="3" t="s">
        <v>147</v>
      </c>
      <c r="F50" s="3" t="s">
        <v>148</v>
      </c>
      <c r="G50" s="3" t="s">
        <v>95</v>
      </c>
      <c r="H50" s="50"/>
      <c r="I50" s="50"/>
      <c r="J50" s="24"/>
      <c r="K50" s="18"/>
      <c r="L50" s="50"/>
      <c r="M50" s="50"/>
    </row>
    <row r="51" spans="1:13" ht="12.75">
      <c r="A51" s="2"/>
      <c r="B51" s="50"/>
      <c r="C51" s="19">
        <f>SUM(D51:E51)</f>
        <v>12.1</v>
      </c>
      <c r="D51" s="93">
        <v>12</v>
      </c>
      <c r="E51" s="91">
        <f>ROUNDUP((F51*1.2/1000),1)</f>
        <v>0.1</v>
      </c>
      <c r="F51" s="42">
        <v>24</v>
      </c>
      <c r="G51" s="42">
        <v>10</v>
      </c>
      <c r="H51" s="50"/>
      <c r="I51" s="50"/>
      <c r="J51" s="24"/>
      <c r="K51" s="18"/>
      <c r="L51" s="50"/>
      <c r="M51" s="50"/>
    </row>
    <row r="52" spans="1:13" ht="12.75">
      <c r="A52" s="2"/>
      <c r="B52" s="50"/>
      <c r="C52" s="50"/>
      <c r="D52" s="50"/>
      <c r="E52" s="50"/>
      <c r="F52" s="50"/>
      <c r="G52" s="50"/>
      <c r="H52" s="3" t="s">
        <v>121</v>
      </c>
      <c r="I52" s="41" t="s">
        <v>122</v>
      </c>
      <c r="J52" s="24"/>
      <c r="K52" s="50"/>
      <c r="L52" s="50"/>
      <c r="M52" s="50"/>
    </row>
    <row r="53" spans="1:13" ht="16.5" thickBot="1">
      <c r="A53" s="10"/>
      <c r="B53" s="50"/>
      <c r="C53" s="7" t="s">
        <v>129</v>
      </c>
      <c r="D53" s="3" t="s">
        <v>127</v>
      </c>
      <c r="E53" s="3" t="s">
        <v>128</v>
      </c>
      <c r="F53" s="3" t="s">
        <v>125</v>
      </c>
      <c r="G53" s="3" t="s">
        <v>124</v>
      </c>
      <c r="H53" s="3" t="s">
        <v>120</v>
      </c>
      <c r="I53" s="3" t="s">
        <v>123</v>
      </c>
      <c r="J53" s="45" t="s">
        <v>126</v>
      </c>
      <c r="K53" s="43"/>
      <c r="L53" s="50"/>
      <c r="M53" s="50"/>
    </row>
    <row r="54" spans="1:13" ht="16.5" thickBot="1">
      <c r="A54" s="10"/>
      <c r="B54" s="50"/>
      <c r="C54" s="44">
        <f>ROUND(C55,0)</f>
        <v>10</v>
      </c>
      <c r="D54" s="42">
        <v>90</v>
      </c>
      <c r="E54" s="42">
        <v>10</v>
      </c>
      <c r="F54" s="92">
        <f>ROUND(D54*E54/100,0)</f>
        <v>9</v>
      </c>
      <c r="G54" s="49">
        <v>9</v>
      </c>
      <c r="H54" s="49">
        <v>10</v>
      </c>
      <c r="I54" s="49">
        <v>10</v>
      </c>
      <c r="J54" s="42">
        <v>1</v>
      </c>
      <c r="K54" s="43"/>
      <c r="L54" s="50"/>
      <c r="M54" s="50"/>
    </row>
    <row r="55" spans="1:13" ht="15.75">
      <c r="A55" s="10" t="s">
        <v>31</v>
      </c>
      <c r="B55" s="50"/>
      <c r="C55" s="70">
        <f>(SUM(F54:J54)+(G51*2.2))/6</f>
        <v>10.166666666666666</v>
      </c>
      <c r="D55" s="50"/>
      <c r="E55" s="50"/>
      <c r="F55" s="50"/>
      <c r="G55" s="50"/>
      <c r="H55" s="55">
        <f>H54/10</f>
        <v>1</v>
      </c>
      <c r="I55" s="50"/>
      <c r="J55" s="50"/>
      <c r="K55" s="24"/>
      <c r="L55" s="50"/>
      <c r="M55" s="50"/>
    </row>
    <row r="56" spans="1:13" ht="16.5" thickBot="1">
      <c r="A56" s="10"/>
      <c r="B56" s="50"/>
      <c r="C56" s="50"/>
      <c r="D56" s="50"/>
      <c r="E56" s="50"/>
      <c r="F56" s="50"/>
      <c r="G56" s="50"/>
      <c r="H56" s="50"/>
      <c r="I56" s="50"/>
      <c r="J56" s="50"/>
      <c r="K56" s="24"/>
      <c r="L56" s="50"/>
      <c r="M56" s="50"/>
    </row>
    <row r="57" spans="1:13" ht="12.75">
      <c r="A57" s="2" t="s">
        <v>38</v>
      </c>
      <c r="B57" s="50"/>
      <c r="C57" s="7" t="s">
        <v>21</v>
      </c>
      <c r="D57" s="22" t="s">
        <v>20</v>
      </c>
      <c r="E57" s="3" t="s">
        <v>33</v>
      </c>
      <c r="F57" s="3" t="s">
        <v>41</v>
      </c>
      <c r="G57" s="3" t="s">
        <v>40</v>
      </c>
      <c r="H57" s="3" t="s">
        <v>52</v>
      </c>
      <c r="I57" s="3" t="s">
        <v>39</v>
      </c>
      <c r="J57" s="50"/>
      <c r="K57" s="24"/>
      <c r="L57" s="50"/>
      <c r="M57" s="50"/>
    </row>
    <row r="58" spans="1:13" ht="13.5" thickBot="1">
      <c r="A58" s="2"/>
      <c r="B58" s="50"/>
      <c r="C58" s="35">
        <f>SUM(D58:I58)</f>
        <v>454.02500000000003</v>
      </c>
      <c r="D58" s="23">
        <f>F27/2</f>
        <v>80.20833333333333</v>
      </c>
      <c r="E58" s="74">
        <f>D58*3</f>
        <v>240.625</v>
      </c>
      <c r="F58" s="74">
        <f>D58*140/100</f>
        <v>112.29166666666666</v>
      </c>
      <c r="G58" s="74">
        <f>H43+I43+C88</f>
        <v>15.5</v>
      </c>
      <c r="H58" s="91">
        <f>SUM(F80:F93)</f>
        <v>4.299999999999999</v>
      </c>
      <c r="I58" s="91">
        <f>SUM(I80:I82)</f>
        <v>1.1</v>
      </c>
      <c r="J58" s="50"/>
      <c r="K58" s="24"/>
      <c r="L58" s="50"/>
      <c r="M58" s="50"/>
    </row>
    <row r="59" spans="1:13" ht="12.75">
      <c r="A59" s="2"/>
      <c r="B59" s="50"/>
      <c r="C59" s="71"/>
      <c r="D59" s="50"/>
      <c r="E59" s="50"/>
      <c r="F59" s="50"/>
      <c r="G59" s="50"/>
      <c r="H59" s="58"/>
      <c r="I59" s="50"/>
      <c r="J59" s="50"/>
      <c r="K59" s="24"/>
      <c r="L59" s="50"/>
      <c r="M59" s="50"/>
    </row>
    <row r="60" spans="1:13" ht="12.75">
      <c r="A60" s="2" t="s">
        <v>6</v>
      </c>
      <c r="B60" s="50"/>
      <c r="C60" s="12" t="s">
        <v>21</v>
      </c>
      <c r="D60" s="3" t="s">
        <v>32</v>
      </c>
      <c r="E60" s="3" t="s">
        <v>33</v>
      </c>
      <c r="F60" s="3" t="s">
        <v>41</v>
      </c>
      <c r="G60" s="3" t="s">
        <v>40</v>
      </c>
      <c r="H60" s="3" t="s">
        <v>152</v>
      </c>
      <c r="I60" s="3" t="s">
        <v>151</v>
      </c>
      <c r="J60" s="3" t="s">
        <v>149</v>
      </c>
      <c r="K60" s="24"/>
      <c r="L60" s="50"/>
      <c r="M60" s="50"/>
    </row>
    <row r="61" spans="1:13" ht="12.75">
      <c r="A61" s="2"/>
      <c r="B61" s="50"/>
      <c r="C61" s="35">
        <f>SUM(D61:E61)</f>
        <v>112.29166666666666</v>
      </c>
      <c r="D61" s="74">
        <f>(D58*35)/100</f>
        <v>28.072916666666664</v>
      </c>
      <c r="E61" s="74">
        <f>C81*35/100</f>
        <v>84.21875</v>
      </c>
      <c r="F61" s="91">
        <f>C43+F64-F58+H43+I43</f>
        <v>0</v>
      </c>
      <c r="G61" s="91">
        <v>0</v>
      </c>
      <c r="H61" s="102">
        <f>ROUND(D58*25/100,1)</f>
        <v>20.1</v>
      </c>
      <c r="I61" s="74">
        <f>ROUND(D58/2,1)</f>
        <v>40.1</v>
      </c>
      <c r="J61" s="101">
        <f>ROUND(C51+(C51*26/100),1)</f>
        <v>15.2</v>
      </c>
      <c r="K61" s="24"/>
      <c r="L61" s="50"/>
      <c r="M61" s="50"/>
    </row>
    <row r="62" spans="1:13" ht="12.75">
      <c r="A62" s="2"/>
      <c r="B62" s="50"/>
      <c r="C62" s="50"/>
      <c r="D62" s="72">
        <f>D58-H61-J61</f>
        <v>44.90833333333333</v>
      </c>
      <c r="E62" s="50"/>
      <c r="F62" s="50"/>
      <c r="G62" s="50"/>
      <c r="H62" s="58"/>
      <c r="I62" s="62">
        <f>SUM(D64:H64)</f>
        <v>107.94768229166665</v>
      </c>
      <c r="J62" s="50"/>
      <c r="L62" s="50"/>
      <c r="M62" s="50"/>
    </row>
    <row r="63" spans="1:13" ht="13.5" thickBot="1">
      <c r="A63" s="2" t="s">
        <v>7</v>
      </c>
      <c r="B63" s="50"/>
      <c r="C63" s="12" t="s">
        <v>21</v>
      </c>
      <c r="D63" s="3" t="s">
        <v>32</v>
      </c>
      <c r="E63" s="3" t="s">
        <v>33</v>
      </c>
      <c r="F63" s="3" t="s">
        <v>41</v>
      </c>
      <c r="G63" s="3" t="s">
        <v>40</v>
      </c>
      <c r="H63" s="3" t="s">
        <v>52</v>
      </c>
      <c r="I63" s="3" t="s">
        <v>37</v>
      </c>
      <c r="J63" s="3" t="s">
        <v>65</v>
      </c>
      <c r="K63" s="3" t="s">
        <v>150</v>
      </c>
      <c r="L63" s="50"/>
      <c r="M63" s="50"/>
    </row>
    <row r="64" spans="1:13" ht="13.5" thickBot="1">
      <c r="A64" s="2"/>
      <c r="B64" s="50"/>
      <c r="C64" s="36">
        <f>I62-I64+H55+E35-I46</f>
        <v>97.65342317708333</v>
      </c>
      <c r="D64" s="74">
        <v>0</v>
      </c>
      <c r="E64" s="74">
        <f>C81*20/100</f>
        <v>48.125</v>
      </c>
      <c r="F64" s="74">
        <f>F58-C43-H43-I43</f>
        <v>55.52768229166665</v>
      </c>
      <c r="G64" s="74">
        <f>C88+C86+C87-H43-I43</f>
        <v>1.5</v>
      </c>
      <c r="H64" s="74">
        <f>H58*65/100</f>
        <v>2.7949999999999995</v>
      </c>
      <c r="I64" s="73">
        <f>I62*J64/100</f>
        <v>5.397384114583333</v>
      </c>
      <c r="J64" s="49">
        <v>5</v>
      </c>
      <c r="K64" s="73">
        <f>ROUND(C64*10/100,1)</f>
        <v>9.8</v>
      </c>
      <c r="L64" s="50"/>
      <c r="M64" s="50"/>
    </row>
    <row r="65" spans="1:13" ht="12.75">
      <c r="A65" s="48"/>
      <c r="B65" s="90" t="s">
        <v>153</v>
      </c>
      <c r="C65" s="66">
        <f>C64-C66-K64</f>
        <v>68.32273854166667</v>
      </c>
      <c r="D65" s="50"/>
      <c r="E65" s="50"/>
      <c r="F65" s="50"/>
      <c r="G65" s="50"/>
      <c r="H65" s="50"/>
      <c r="I65" s="50"/>
      <c r="J65" s="50"/>
      <c r="K65" s="50"/>
      <c r="L65" s="50"/>
      <c r="M65" s="50"/>
    </row>
    <row r="66" spans="1:13" ht="15.75">
      <c r="A66" s="10" t="s">
        <v>133</v>
      </c>
      <c r="B66" s="50"/>
      <c r="C66" s="55">
        <f>C64*20/100</f>
        <v>19.530684635416666</v>
      </c>
      <c r="D66" s="50"/>
      <c r="E66" s="50"/>
      <c r="F66" s="50"/>
      <c r="G66" s="50"/>
      <c r="H66" s="50"/>
      <c r="I66" s="50"/>
      <c r="J66" s="50"/>
      <c r="K66" s="24"/>
      <c r="L66" s="50"/>
      <c r="M66" s="50"/>
    </row>
    <row r="67" spans="1:13" ht="12.75">
      <c r="A67" s="2"/>
      <c r="B67" s="50"/>
      <c r="C67" s="50"/>
      <c r="D67" s="50"/>
      <c r="E67" s="50"/>
      <c r="F67" s="50"/>
      <c r="G67" s="50"/>
      <c r="H67" s="50"/>
      <c r="I67" s="50"/>
      <c r="J67" s="50"/>
      <c r="K67" s="24"/>
      <c r="L67" s="50"/>
      <c r="M67" s="50"/>
    </row>
    <row r="68" spans="1:13" ht="12.75">
      <c r="A68" s="2" t="s">
        <v>134</v>
      </c>
      <c r="B68" s="50"/>
      <c r="C68" s="2" t="s">
        <v>137</v>
      </c>
      <c r="D68" s="1"/>
      <c r="E68" s="1"/>
      <c r="F68" s="1"/>
      <c r="G68" s="1"/>
      <c r="H68" s="1"/>
      <c r="I68" s="37">
        <v>1</v>
      </c>
      <c r="J68" s="50"/>
      <c r="K68" s="24"/>
      <c r="L68" s="50"/>
      <c r="M68" s="50"/>
    </row>
    <row r="69" spans="1:13" ht="12.75">
      <c r="A69" s="2"/>
      <c r="B69" s="50"/>
      <c r="C69" s="1"/>
      <c r="D69" s="1"/>
      <c r="E69" s="1"/>
      <c r="F69" s="1"/>
      <c r="G69" s="1"/>
      <c r="H69" s="50"/>
      <c r="I69" s="50"/>
      <c r="J69" s="50"/>
      <c r="K69" s="24"/>
      <c r="L69" s="50"/>
      <c r="M69" s="50"/>
    </row>
    <row r="70" spans="1:13" ht="12.75">
      <c r="A70" s="2" t="s">
        <v>146</v>
      </c>
      <c r="B70" s="50"/>
      <c r="C70" s="2" t="s">
        <v>135</v>
      </c>
      <c r="D70" s="1"/>
      <c r="E70" s="1"/>
      <c r="F70" s="1"/>
      <c r="G70" s="37">
        <f>I68*120/100</f>
        <v>1.2</v>
      </c>
      <c r="H70" s="50"/>
      <c r="I70" s="50"/>
      <c r="J70" s="50"/>
      <c r="K70" s="24"/>
      <c r="L70" s="50"/>
      <c r="M70" s="50"/>
    </row>
    <row r="71" spans="1:13" ht="13.5" thickBot="1">
      <c r="A71" s="2"/>
      <c r="B71" s="50"/>
      <c r="C71" s="1"/>
      <c r="D71" s="1"/>
      <c r="E71" s="1"/>
      <c r="F71" s="1"/>
      <c r="G71" s="50"/>
      <c r="H71" s="50"/>
      <c r="I71" s="50"/>
      <c r="J71" s="50"/>
      <c r="K71" s="24"/>
      <c r="L71" s="50"/>
      <c r="M71" s="50"/>
    </row>
    <row r="72" spans="1:13" ht="13.5" thickBot="1">
      <c r="A72" s="2" t="s">
        <v>145</v>
      </c>
      <c r="B72" s="50"/>
      <c r="C72" s="2" t="s">
        <v>157</v>
      </c>
      <c r="D72" s="1"/>
      <c r="E72" s="37">
        <f>(((C65*3)*50/100)/10)-F72</f>
        <v>9.99841078125</v>
      </c>
      <c r="F72" s="55">
        <v>0.25</v>
      </c>
      <c r="G72" s="78" t="s">
        <v>171</v>
      </c>
      <c r="H72" s="1"/>
      <c r="I72" s="36">
        <f>G70+E72-I68</f>
        <v>10.198410781249999</v>
      </c>
      <c r="J72" s="50"/>
      <c r="K72" s="24"/>
      <c r="L72" s="50"/>
      <c r="M72" s="50"/>
    </row>
    <row r="73" spans="1:13" ht="12.75">
      <c r="A73" s="2"/>
      <c r="B73" s="50"/>
      <c r="C73" s="2"/>
      <c r="D73" s="1"/>
      <c r="E73" s="66"/>
      <c r="F73" s="78" t="s">
        <v>172</v>
      </c>
      <c r="G73" s="1"/>
      <c r="H73" s="1"/>
      <c r="I73" s="19">
        <f>I68</f>
        <v>1</v>
      </c>
      <c r="J73" s="50"/>
      <c r="K73" s="24"/>
      <c r="L73" s="50"/>
      <c r="M73" s="50"/>
    </row>
    <row r="74" spans="1:13" ht="12.75">
      <c r="A74" s="2" t="s">
        <v>144</v>
      </c>
      <c r="B74" s="50"/>
      <c r="C74" s="2" t="s">
        <v>143</v>
      </c>
      <c r="D74" s="1"/>
      <c r="E74" s="106" t="s">
        <v>139</v>
      </c>
      <c r="F74" s="79"/>
      <c r="G74" s="80"/>
      <c r="H74" s="47"/>
      <c r="I74" s="19"/>
      <c r="J74" s="50"/>
      <c r="K74" s="24"/>
      <c r="L74" s="50"/>
      <c r="M74" s="50"/>
    </row>
    <row r="75" spans="1:13" ht="12.75">
      <c r="A75" s="2"/>
      <c r="B75" s="50"/>
      <c r="C75" s="2" t="s">
        <v>142</v>
      </c>
      <c r="D75" s="1"/>
      <c r="E75" s="106" t="s">
        <v>139</v>
      </c>
      <c r="F75" s="79"/>
      <c r="G75" s="1"/>
      <c r="H75" s="47"/>
      <c r="I75" s="19"/>
      <c r="J75" s="50"/>
      <c r="K75" s="24"/>
      <c r="L75" s="50"/>
      <c r="M75" s="50"/>
    </row>
    <row r="76" spans="1:13" ht="12.75">
      <c r="A76" s="2"/>
      <c r="B76" s="50"/>
      <c r="C76" s="50"/>
      <c r="D76" s="50"/>
      <c r="E76" s="50"/>
      <c r="F76" s="50"/>
      <c r="G76" s="50"/>
      <c r="H76" s="50"/>
      <c r="I76" s="50"/>
      <c r="J76" s="50"/>
      <c r="K76" s="24"/>
      <c r="L76" s="50"/>
      <c r="M76" s="50"/>
    </row>
    <row r="77" spans="1:13" ht="15.75">
      <c r="A77" s="10" t="s">
        <v>158</v>
      </c>
      <c r="B77" s="1"/>
      <c r="C77" s="1"/>
      <c r="D77" s="1"/>
      <c r="E77" s="1"/>
      <c r="F77" s="1"/>
      <c r="G77" s="1"/>
      <c r="H77" s="1"/>
      <c r="I77" s="1"/>
      <c r="J77" s="1"/>
      <c r="K77" s="1"/>
      <c r="L77" s="50"/>
      <c r="M77" s="50"/>
    </row>
    <row r="78" spans="1:13" ht="15.75">
      <c r="A78" s="10"/>
      <c r="B78" s="75"/>
      <c r="C78" s="75"/>
      <c r="D78" s="75"/>
      <c r="E78" s="75"/>
      <c r="F78" s="75"/>
      <c r="G78" s="75"/>
      <c r="H78" s="75"/>
      <c r="I78" s="75"/>
      <c r="J78" s="75"/>
      <c r="K78" s="24"/>
      <c r="L78" s="50"/>
      <c r="M78" s="50"/>
    </row>
    <row r="79" spans="1:13" ht="15.75">
      <c r="A79" s="10" t="s">
        <v>50</v>
      </c>
      <c r="B79" s="50"/>
      <c r="C79" s="10" t="s">
        <v>69</v>
      </c>
      <c r="D79" s="50"/>
      <c r="E79" s="10" t="s">
        <v>52</v>
      </c>
      <c r="F79" s="1"/>
      <c r="G79" s="76"/>
      <c r="H79" s="10" t="s">
        <v>56</v>
      </c>
      <c r="I79" s="1"/>
      <c r="J79" s="64"/>
      <c r="K79" s="24"/>
      <c r="L79" s="50"/>
      <c r="M79" s="50"/>
    </row>
    <row r="80" spans="1:13" ht="12.75">
      <c r="A80" s="2" t="s">
        <v>8</v>
      </c>
      <c r="B80" s="1"/>
      <c r="C80" s="17">
        <f>D58</f>
        <v>80.20833333333333</v>
      </c>
      <c r="D80" s="64"/>
      <c r="E80" s="2" t="s">
        <v>55</v>
      </c>
      <c r="F80" s="87">
        <v>0.6</v>
      </c>
      <c r="G80" s="50"/>
      <c r="H80" s="2" t="s">
        <v>54</v>
      </c>
      <c r="I80" s="87">
        <v>0.5</v>
      </c>
      <c r="J80" s="50"/>
      <c r="K80" s="24"/>
      <c r="L80" s="50"/>
      <c r="M80" s="50"/>
    </row>
    <row r="81" spans="1:13" ht="12.75">
      <c r="A81" s="2" t="s">
        <v>9</v>
      </c>
      <c r="B81" s="1"/>
      <c r="C81" s="17">
        <f>C80*3</f>
        <v>240.625</v>
      </c>
      <c r="D81" s="64"/>
      <c r="E81" s="2" t="s">
        <v>42</v>
      </c>
      <c r="F81" s="87">
        <v>0</v>
      </c>
      <c r="G81" s="50"/>
      <c r="H81" s="2" t="s">
        <v>205</v>
      </c>
      <c r="I81" s="87">
        <v>0.1</v>
      </c>
      <c r="J81" s="50"/>
      <c r="K81" s="24"/>
      <c r="L81" s="50"/>
      <c r="M81" s="50"/>
    </row>
    <row r="82" spans="1:13" ht="12.75">
      <c r="A82" s="2" t="s">
        <v>12</v>
      </c>
      <c r="B82" s="1"/>
      <c r="C82" s="17">
        <f>D58*140/100</f>
        <v>112.29166666666666</v>
      </c>
      <c r="D82" s="64"/>
      <c r="E82" s="2" t="s">
        <v>106</v>
      </c>
      <c r="F82" s="87">
        <v>0.5</v>
      </c>
      <c r="G82" s="50"/>
      <c r="H82" s="2" t="s">
        <v>159</v>
      </c>
      <c r="I82" s="87">
        <v>0.5</v>
      </c>
      <c r="J82" s="50"/>
      <c r="K82" s="24"/>
      <c r="L82" s="50"/>
      <c r="M82" s="50"/>
    </row>
    <row r="83" spans="1:13" ht="12.75">
      <c r="A83" s="2"/>
      <c r="B83" s="1"/>
      <c r="C83" s="33">
        <f>SUM(C80:C82)</f>
        <v>433.125</v>
      </c>
      <c r="D83" s="64"/>
      <c r="E83" s="2" t="s">
        <v>105</v>
      </c>
      <c r="F83" s="87">
        <v>0.4</v>
      </c>
      <c r="G83" s="50"/>
      <c r="H83" s="50"/>
      <c r="I83" s="71">
        <f>SUM(I80:I82)</f>
        <v>1.1</v>
      </c>
      <c r="J83" s="50"/>
      <c r="K83" s="24"/>
      <c r="L83" s="50"/>
      <c r="M83" s="50"/>
    </row>
    <row r="84" spans="1:13" ht="15.75">
      <c r="A84" s="2"/>
      <c r="B84" s="50"/>
      <c r="C84" s="1"/>
      <c r="D84" s="64"/>
      <c r="E84" s="2" t="s">
        <v>160</v>
      </c>
      <c r="F84" s="87">
        <v>1.5</v>
      </c>
      <c r="G84" s="50"/>
      <c r="H84" s="10" t="s">
        <v>67</v>
      </c>
      <c r="I84" s="10"/>
      <c r="J84" s="10"/>
      <c r="K84" s="2"/>
      <c r="L84" s="50"/>
      <c r="M84" s="50"/>
    </row>
    <row r="85" spans="1:13" ht="15.75">
      <c r="A85" s="10" t="s">
        <v>51</v>
      </c>
      <c r="B85" s="50"/>
      <c r="C85" s="11"/>
      <c r="D85" s="64"/>
      <c r="E85" s="2" t="s">
        <v>44</v>
      </c>
      <c r="F85" s="87">
        <v>0.1</v>
      </c>
      <c r="G85" s="50"/>
      <c r="H85" s="2" t="s">
        <v>66</v>
      </c>
      <c r="I85" s="82">
        <v>12</v>
      </c>
      <c r="J85" s="50"/>
      <c r="K85" s="24"/>
      <c r="L85" s="50"/>
      <c r="M85" s="50"/>
    </row>
    <row r="86" spans="1:13" ht="12.75">
      <c r="A86" s="2" t="s">
        <v>10</v>
      </c>
      <c r="B86" s="50"/>
      <c r="C86" s="88">
        <v>7</v>
      </c>
      <c r="D86" s="64"/>
      <c r="E86" s="2" t="s">
        <v>49</v>
      </c>
      <c r="F86" s="87">
        <v>0.1</v>
      </c>
      <c r="G86" s="50"/>
      <c r="H86" s="2" t="s">
        <v>28</v>
      </c>
      <c r="I86" s="82">
        <v>10</v>
      </c>
      <c r="J86" s="50"/>
      <c r="K86" s="24"/>
      <c r="L86" s="50"/>
      <c r="M86" s="50"/>
    </row>
    <row r="87" spans="1:13" ht="12.75">
      <c r="A87" s="2" t="s">
        <v>53</v>
      </c>
      <c r="B87" s="50"/>
      <c r="C87" s="88">
        <v>7</v>
      </c>
      <c r="D87" s="64"/>
      <c r="E87" s="2" t="s">
        <v>13</v>
      </c>
      <c r="F87" s="87">
        <v>0.4</v>
      </c>
      <c r="G87" s="50"/>
      <c r="H87" s="2" t="s">
        <v>107</v>
      </c>
      <c r="I87" s="82">
        <v>8</v>
      </c>
      <c r="J87" s="50"/>
      <c r="K87" s="50"/>
      <c r="L87" s="50"/>
      <c r="M87" s="50"/>
    </row>
    <row r="88" spans="1:13" ht="12.75">
      <c r="A88" s="2" t="s">
        <v>11</v>
      </c>
      <c r="B88" s="50"/>
      <c r="C88" s="89">
        <v>1.5</v>
      </c>
      <c r="D88" s="64"/>
      <c r="E88" s="2" t="s">
        <v>46</v>
      </c>
      <c r="F88" s="87">
        <v>0.2</v>
      </c>
      <c r="G88" s="50"/>
      <c r="H88" s="2" t="s">
        <v>29</v>
      </c>
      <c r="I88" s="82">
        <v>8</v>
      </c>
      <c r="J88" s="50"/>
      <c r="K88" s="50"/>
      <c r="L88" s="50"/>
      <c r="M88" s="50"/>
    </row>
    <row r="89" spans="1:13" ht="12.75">
      <c r="A89" s="2"/>
      <c r="B89" s="50"/>
      <c r="C89" s="71">
        <f>SUM(C86:C88)</f>
        <v>15.5</v>
      </c>
      <c r="D89" s="64"/>
      <c r="E89" s="2" t="s">
        <v>47</v>
      </c>
      <c r="F89" s="87">
        <v>0.1</v>
      </c>
      <c r="G89" s="50"/>
      <c r="H89" s="2" t="s">
        <v>25</v>
      </c>
      <c r="I89" s="82">
        <v>7.5</v>
      </c>
      <c r="J89" s="50"/>
      <c r="K89" s="24"/>
      <c r="L89" s="50"/>
      <c r="M89" s="60"/>
    </row>
    <row r="90" spans="1:13" ht="12.75">
      <c r="A90" s="50"/>
      <c r="B90" s="50"/>
      <c r="C90" s="50"/>
      <c r="D90" s="64"/>
      <c r="E90" s="2" t="s">
        <v>48</v>
      </c>
      <c r="F90" s="87">
        <v>0.1</v>
      </c>
      <c r="G90" s="50"/>
      <c r="H90" s="2" t="s">
        <v>61</v>
      </c>
      <c r="I90" s="82">
        <v>7</v>
      </c>
      <c r="J90" s="50"/>
      <c r="K90" s="24"/>
      <c r="L90" s="50"/>
      <c r="M90" s="50"/>
    </row>
    <row r="91" spans="1:13" ht="12.75">
      <c r="A91" s="50"/>
      <c r="B91" s="50"/>
      <c r="C91" s="50"/>
      <c r="D91" s="64"/>
      <c r="E91" s="2" t="s">
        <v>45</v>
      </c>
      <c r="F91" s="87">
        <v>0.1</v>
      </c>
      <c r="G91" s="50"/>
      <c r="H91" s="2" t="s">
        <v>60</v>
      </c>
      <c r="I91" s="82">
        <v>6</v>
      </c>
      <c r="J91" s="50"/>
      <c r="K91" s="24"/>
      <c r="L91" s="50"/>
      <c r="M91" s="50"/>
    </row>
    <row r="92" spans="1:13" ht="12.75">
      <c r="A92" s="24"/>
      <c r="B92" s="24"/>
      <c r="C92" s="24"/>
      <c r="D92" s="64"/>
      <c r="E92" s="2" t="s">
        <v>14</v>
      </c>
      <c r="F92" s="87">
        <v>0.1</v>
      </c>
      <c r="G92" s="50"/>
      <c r="H92" s="2" t="s">
        <v>109</v>
      </c>
      <c r="I92" s="82">
        <v>5</v>
      </c>
      <c r="J92" s="50"/>
      <c r="K92" s="24"/>
      <c r="L92" s="50"/>
      <c r="M92" s="50"/>
    </row>
    <row r="93" spans="1:13" ht="12.75">
      <c r="A93" s="26"/>
      <c r="B93" s="26"/>
      <c r="C93" s="26"/>
      <c r="D93" s="64"/>
      <c r="E93" s="2" t="s">
        <v>43</v>
      </c>
      <c r="F93" s="87">
        <v>0.1</v>
      </c>
      <c r="G93" s="50"/>
      <c r="H93" s="2" t="s">
        <v>108</v>
      </c>
      <c r="I93" s="82">
        <v>4</v>
      </c>
      <c r="J93" s="50"/>
      <c r="K93" s="24"/>
      <c r="L93" s="50"/>
      <c r="M93" s="50"/>
    </row>
    <row r="94" spans="1:13" ht="12.75">
      <c r="A94" s="26"/>
      <c r="B94" s="26"/>
      <c r="C94" s="26"/>
      <c r="D94" s="50"/>
      <c r="E94" s="2"/>
      <c r="F94" s="71">
        <f>SUM(F80:F93)</f>
        <v>4.299999999999999</v>
      </c>
      <c r="G94" s="50"/>
      <c r="H94" s="2" t="s">
        <v>59</v>
      </c>
      <c r="I94" s="82">
        <v>4</v>
      </c>
      <c r="J94" s="50"/>
      <c r="K94" s="24"/>
      <c r="L94" s="50"/>
      <c r="M94" s="50"/>
    </row>
    <row r="95" spans="1:13" ht="12.75">
      <c r="A95" s="16"/>
      <c r="B95" s="24"/>
      <c r="C95" s="24"/>
      <c r="D95" s="24"/>
      <c r="E95" s="24"/>
      <c r="F95" s="24"/>
      <c r="G95" s="24"/>
      <c r="H95" s="24"/>
      <c r="I95" s="1"/>
      <c r="J95" s="1"/>
      <c r="K95" s="24"/>
      <c r="L95" s="50"/>
      <c r="M95" s="50"/>
    </row>
    <row r="96" spans="1:13" ht="12.75">
      <c r="A96" s="16"/>
      <c r="B96" s="1"/>
      <c r="C96" s="1"/>
      <c r="D96" s="1"/>
      <c r="E96" s="1"/>
      <c r="F96" s="1"/>
      <c r="G96" s="1"/>
      <c r="H96" s="1"/>
      <c r="I96" s="1"/>
      <c r="J96" s="1"/>
      <c r="K96" s="1"/>
      <c r="L96" s="50"/>
      <c r="M96" s="50"/>
    </row>
    <row r="97" spans="1:13" ht="12.75">
      <c r="A97" s="16"/>
      <c r="B97" s="1"/>
      <c r="C97" s="1"/>
      <c r="D97" s="1"/>
      <c r="E97" s="1"/>
      <c r="F97" s="1"/>
      <c r="G97" s="1"/>
      <c r="H97" s="1"/>
      <c r="I97" s="1"/>
      <c r="J97" s="1"/>
      <c r="K97" s="1"/>
      <c r="L97" s="50"/>
      <c r="M97" s="50"/>
    </row>
    <row r="98" spans="1:13" ht="15.75">
      <c r="A98" s="99" t="s">
        <v>176</v>
      </c>
      <c r="B98" s="1"/>
      <c r="C98" s="1"/>
      <c r="D98" s="1"/>
      <c r="E98" s="50"/>
      <c r="F98" s="50"/>
      <c r="G98" s="50"/>
      <c r="H98" s="50"/>
      <c r="I98" s="50"/>
      <c r="J98" s="50"/>
      <c r="K98" s="50"/>
      <c r="L98" s="50"/>
      <c r="M98" s="50"/>
    </row>
    <row r="99" spans="1:13" ht="12.75">
      <c r="A99" s="50"/>
      <c r="B99" s="50"/>
      <c r="C99" s="50"/>
      <c r="D99" s="50"/>
      <c r="E99" s="50"/>
      <c r="F99" s="50"/>
      <c r="G99" s="50"/>
      <c r="H99" s="50"/>
      <c r="I99" s="50"/>
      <c r="J99" s="50"/>
      <c r="K99" s="50"/>
      <c r="L99" s="50"/>
      <c r="M99" s="50"/>
    </row>
    <row r="100" spans="1:13" ht="12.75">
      <c r="A100" s="2" t="str">
        <f>PROPER("TITLE")</f>
        <v>Title</v>
      </c>
      <c r="B100" s="50"/>
      <c r="C100" s="77" t="s">
        <v>206</v>
      </c>
      <c r="D100" s="50"/>
      <c r="E100" s="2" t="s">
        <v>81</v>
      </c>
      <c r="F100" s="1"/>
      <c r="G100" s="50"/>
      <c r="H100" s="60"/>
      <c r="I100" s="50"/>
      <c r="J100" s="50"/>
      <c r="K100" s="50"/>
      <c r="L100" s="50"/>
      <c r="M100" s="50"/>
    </row>
    <row r="101" spans="1:13" ht="12.75">
      <c r="A101" s="1"/>
      <c r="B101" s="50"/>
      <c r="C101" s="84" t="s">
        <v>207</v>
      </c>
      <c r="D101" s="50"/>
      <c r="E101" s="2" t="s">
        <v>82</v>
      </c>
      <c r="F101" s="2"/>
      <c r="G101" s="50"/>
      <c r="H101" s="100">
        <v>1999</v>
      </c>
      <c r="I101" s="50"/>
      <c r="J101" s="50"/>
      <c r="K101" s="50"/>
      <c r="L101" s="50"/>
      <c r="M101" s="50"/>
    </row>
    <row r="102" spans="1:13" ht="12.75">
      <c r="A102" s="2" t="s">
        <v>76</v>
      </c>
      <c r="B102" s="50"/>
      <c r="C102" s="60"/>
      <c r="D102" s="50"/>
      <c r="E102" s="2" t="s">
        <v>83</v>
      </c>
      <c r="F102" s="2"/>
      <c r="G102" s="50"/>
      <c r="H102" s="86">
        <v>70</v>
      </c>
      <c r="I102" s="50"/>
      <c r="J102" s="50"/>
      <c r="K102" s="24"/>
      <c r="L102" s="50"/>
      <c r="M102" s="50"/>
    </row>
    <row r="103" spans="1:13" ht="12.75">
      <c r="A103" s="2" t="s">
        <v>77</v>
      </c>
      <c r="B103" s="50"/>
      <c r="C103" s="60" t="s">
        <v>214</v>
      </c>
      <c r="D103" s="50"/>
      <c r="E103" s="2" t="s">
        <v>84</v>
      </c>
      <c r="F103" s="2"/>
      <c r="G103" s="50"/>
      <c r="H103" s="86" t="s">
        <v>211</v>
      </c>
      <c r="I103" s="50"/>
      <c r="J103" s="50"/>
      <c r="K103" s="24"/>
      <c r="L103" s="50"/>
      <c r="M103" s="50"/>
    </row>
    <row r="104" spans="1:13" ht="12.75">
      <c r="A104" s="1"/>
      <c r="B104" s="50"/>
      <c r="C104" s="85" t="s">
        <v>208</v>
      </c>
      <c r="D104" s="50"/>
      <c r="E104" s="2" t="s">
        <v>85</v>
      </c>
      <c r="F104" s="2"/>
      <c r="G104" s="50" t="s">
        <v>75</v>
      </c>
      <c r="H104" s="86" t="s">
        <v>209</v>
      </c>
      <c r="I104" s="50"/>
      <c r="J104" s="50"/>
      <c r="K104" s="24"/>
      <c r="L104" s="50"/>
      <c r="M104" s="50"/>
    </row>
    <row r="105" spans="1:13" ht="12.75">
      <c r="A105" s="2" t="s">
        <v>78</v>
      </c>
      <c r="B105" s="50"/>
      <c r="C105" s="100">
        <v>1975</v>
      </c>
      <c r="D105" s="50"/>
      <c r="E105" s="2" t="s">
        <v>86</v>
      </c>
      <c r="F105" s="2"/>
      <c r="G105" s="50"/>
      <c r="H105" s="86"/>
      <c r="I105" s="50"/>
      <c r="J105" s="50"/>
      <c r="K105" s="24"/>
      <c r="L105" s="50"/>
      <c r="M105" s="50"/>
    </row>
    <row r="106" spans="1:13" ht="12.75">
      <c r="A106" s="2" t="s">
        <v>79</v>
      </c>
      <c r="B106" s="50"/>
      <c r="C106" s="60"/>
      <c r="D106" s="50"/>
      <c r="E106" s="1"/>
      <c r="F106" s="1"/>
      <c r="G106" s="50"/>
      <c r="H106" s="50"/>
      <c r="I106" s="58"/>
      <c r="J106" s="50"/>
      <c r="K106" s="24"/>
      <c r="L106" s="50"/>
      <c r="M106" s="50"/>
    </row>
    <row r="107" spans="1:13" ht="12.75">
      <c r="A107" s="2" t="s">
        <v>80</v>
      </c>
      <c r="B107" s="50"/>
      <c r="C107" s="50"/>
      <c r="D107" s="50"/>
      <c r="E107" s="50"/>
      <c r="F107" s="38"/>
      <c r="G107" s="50"/>
      <c r="H107" s="50"/>
      <c r="I107" s="58"/>
      <c r="J107" s="50"/>
      <c r="K107" s="24"/>
      <c r="L107" s="50"/>
      <c r="M107" s="50"/>
    </row>
    <row r="108" spans="1:13" ht="12.75">
      <c r="A108" s="1"/>
      <c r="B108" s="50"/>
      <c r="C108" s="50"/>
      <c r="D108" s="50"/>
      <c r="E108" s="50"/>
      <c r="F108" s="50"/>
      <c r="G108" s="50"/>
      <c r="H108" s="50"/>
      <c r="I108" s="58"/>
      <c r="J108" s="50"/>
      <c r="K108" s="24"/>
      <c r="L108" s="50"/>
      <c r="M108" s="50"/>
    </row>
    <row r="109" spans="1:13" ht="15.75">
      <c r="A109" s="10" t="s">
        <v>115</v>
      </c>
      <c r="B109" s="2"/>
      <c r="C109" s="39" t="s">
        <v>87</v>
      </c>
      <c r="D109" s="39" t="s">
        <v>179</v>
      </c>
      <c r="E109" s="39" t="s">
        <v>114</v>
      </c>
      <c r="F109" s="39" t="s">
        <v>178</v>
      </c>
      <c r="G109" s="39" t="s">
        <v>113</v>
      </c>
      <c r="H109" s="39" t="s">
        <v>177</v>
      </c>
      <c r="I109" s="39" t="s">
        <v>86</v>
      </c>
      <c r="J109" s="50"/>
      <c r="K109" s="24"/>
      <c r="L109" s="50"/>
      <c r="M109" s="50"/>
    </row>
    <row r="110" spans="1:13" ht="12.75">
      <c r="A110" s="1"/>
      <c r="B110" s="50"/>
      <c r="C110" s="42">
        <v>8</v>
      </c>
      <c r="D110" s="42">
        <v>6</v>
      </c>
      <c r="E110" s="42">
        <v>5</v>
      </c>
      <c r="F110" s="42">
        <v>5</v>
      </c>
      <c r="G110" s="42">
        <v>5</v>
      </c>
      <c r="H110" s="42">
        <v>2</v>
      </c>
      <c r="I110" s="42">
        <v>3</v>
      </c>
      <c r="J110" s="50"/>
      <c r="K110" s="24"/>
      <c r="L110" s="50"/>
      <c r="M110" s="50"/>
    </row>
    <row r="111" spans="1:13" ht="12.75">
      <c r="A111" s="1"/>
      <c r="B111" s="50"/>
      <c r="D111" s="83"/>
      <c r="F111" s="83"/>
      <c r="H111" s="83"/>
      <c r="I111" s="50"/>
      <c r="J111" s="55">
        <f>SUM(C110:I110)/7</f>
        <v>4.857142857142857</v>
      </c>
      <c r="K111" s="24"/>
      <c r="L111" s="50"/>
      <c r="M111" s="50"/>
    </row>
    <row r="112" spans="1:13" ht="15.75">
      <c r="A112" s="10" t="s">
        <v>161</v>
      </c>
      <c r="B112" s="1"/>
      <c r="C112" s="50"/>
      <c r="D112" s="50"/>
      <c r="E112" s="50"/>
      <c r="F112" s="50"/>
      <c r="G112" s="50"/>
      <c r="H112" s="50"/>
      <c r="I112" s="14"/>
      <c r="J112" s="50"/>
      <c r="K112" s="24"/>
      <c r="L112" s="50"/>
      <c r="M112" s="50"/>
    </row>
    <row r="113" spans="1:13" ht="15.75">
      <c r="A113" s="10"/>
      <c r="B113" s="2" t="s">
        <v>89</v>
      </c>
      <c r="C113" s="2"/>
      <c r="D113" s="42">
        <v>9</v>
      </c>
      <c r="E113" s="50"/>
      <c r="F113" s="2" t="s">
        <v>93</v>
      </c>
      <c r="G113" s="2"/>
      <c r="H113" s="75"/>
      <c r="I113" s="42">
        <v>9</v>
      </c>
      <c r="J113" s="50"/>
      <c r="K113" s="24"/>
      <c r="L113" s="50"/>
      <c r="M113" s="50"/>
    </row>
    <row r="114" spans="1:13" ht="12.75">
      <c r="A114" s="1"/>
      <c r="B114" s="2" t="s">
        <v>88</v>
      </c>
      <c r="C114" s="2"/>
      <c r="D114" s="42"/>
      <c r="E114" s="50"/>
      <c r="F114" s="2" t="s">
        <v>88</v>
      </c>
      <c r="G114" s="2"/>
      <c r="H114" s="2"/>
      <c r="I114" s="42"/>
      <c r="J114" s="50"/>
      <c r="K114" s="24"/>
      <c r="L114" s="50"/>
      <c r="M114" s="50"/>
    </row>
    <row r="115" spans="1:13" ht="12.75">
      <c r="A115" s="1"/>
      <c r="B115" s="2" t="s">
        <v>90</v>
      </c>
      <c r="C115" s="2"/>
      <c r="D115" s="42">
        <v>8</v>
      </c>
      <c r="E115" s="50"/>
      <c r="F115" s="2" t="s">
        <v>92</v>
      </c>
      <c r="G115" s="2"/>
      <c r="H115" s="2"/>
      <c r="I115" s="42">
        <v>9</v>
      </c>
      <c r="J115" s="50"/>
      <c r="K115" s="24"/>
      <c r="L115" s="50"/>
      <c r="M115" s="50"/>
    </row>
    <row r="116" spans="1:13" ht="12.75">
      <c r="A116" s="1"/>
      <c r="B116" s="2" t="s">
        <v>88</v>
      </c>
      <c r="C116" s="2"/>
      <c r="D116" s="42"/>
      <c r="E116" s="50"/>
      <c r="F116" s="2" t="s">
        <v>88</v>
      </c>
      <c r="G116" s="2"/>
      <c r="H116" s="2"/>
      <c r="I116" s="42"/>
      <c r="J116" s="50"/>
      <c r="K116" s="24"/>
      <c r="L116" s="50"/>
      <c r="M116" s="50"/>
    </row>
    <row r="117" spans="1:13" ht="12.75">
      <c r="A117" s="1"/>
      <c r="B117" s="2" t="s">
        <v>91</v>
      </c>
      <c r="C117" s="2"/>
      <c r="D117" s="42">
        <v>10</v>
      </c>
      <c r="E117" s="50"/>
      <c r="F117" s="2" t="s">
        <v>163</v>
      </c>
      <c r="G117" s="2"/>
      <c r="H117" s="2"/>
      <c r="I117" s="42">
        <v>8</v>
      </c>
      <c r="J117" s="50"/>
      <c r="K117" s="24"/>
      <c r="L117" s="50"/>
      <c r="M117" s="50"/>
    </row>
    <row r="118" spans="1:13" ht="12.75">
      <c r="A118" s="1"/>
      <c r="B118" s="50"/>
      <c r="C118" s="50"/>
      <c r="D118" s="50"/>
      <c r="E118" s="50"/>
      <c r="F118" s="50"/>
      <c r="G118" s="50"/>
      <c r="H118" s="50"/>
      <c r="I118" s="50"/>
      <c r="J118" s="50"/>
      <c r="K118" s="24"/>
      <c r="L118" s="50"/>
      <c r="M118" s="50"/>
    </row>
    <row r="119" spans="1:13" ht="12.75">
      <c r="A119" s="1"/>
      <c r="B119" s="50"/>
      <c r="C119" s="50"/>
      <c r="D119" s="50"/>
      <c r="E119" s="50"/>
      <c r="F119" s="50"/>
      <c r="G119" s="50"/>
      <c r="H119" s="50"/>
      <c r="I119" s="50"/>
      <c r="J119" s="50"/>
      <c r="K119" s="24"/>
      <c r="L119" s="50"/>
      <c r="M119" s="50"/>
    </row>
    <row r="120" spans="1:13" ht="15.75">
      <c r="A120" s="10" t="s">
        <v>154</v>
      </c>
      <c r="B120" s="2"/>
      <c r="C120" s="2"/>
      <c r="E120" s="50"/>
      <c r="F120" s="50"/>
      <c r="G120" s="50"/>
      <c r="H120" s="50"/>
      <c r="I120" s="50"/>
      <c r="J120" s="50"/>
      <c r="K120" s="24"/>
      <c r="L120" s="50"/>
      <c r="M120" s="50"/>
    </row>
    <row r="121" spans="1:13" ht="12.75">
      <c r="A121" s="1"/>
      <c r="B121" s="2"/>
      <c r="C121" s="2"/>
      <c r="D121" s="50"/>
      <c r="E121" s="50"/>
      <c r="F121" s="50"/>
      <c r="G121" s="50"/>
      <c r="H121" s="50"/>
      <c r="I121" s="50"/>
      <c r="J121" s="50"/>
      <c r="K121" s="24"/>
      <c r="L121" s="50"/>
      <c r="M121" s="50"/>
    </row>
    <row r="122" spans="1:13" ht="12.75">
      <c r="A122" s="1"/>
      <c r="B122" s="81" t="s">
        <v>169</v>
      </c>
      <c r="C122" s="2" t="s">
        <v>165</v>
      </c>
      <c r="D122" s="30" t="s">
        <v>94</v>
      </c>
      <c r="E122" s="3" t="s">
        <v>18</v>
      </c>
      <c r="F122" s="3" t="s">
        <v>19</v>
      </c>
      <c r="G122" s="3" t="s">
        <v>98</v>
      </c>
      <c r="H122" s="3" t="s">
        <v>101</v>
      </c>
      <c r="I122" s="7" t="s">
        <v>95</v>
      </c>
      <c r="J122" s="7" t="s">
        <v>97</v>
      </c>
      <c r="K122" s="24"/>
      <c r="L122" s="50"/>
      <c r="M122" s="50"/>
    </row>
    <row r="123" spans="1:13" ht="12.75">
      <c r="A123" s="1"/>
      <c r="B123" s="38" t="s">
        <v>88</v>
      </c>
      <c r="C123" s="2"/>
      <c r="D123" s="42">
        <v>2</v>
      </c>
      <c r="E123" s="82">
        <v>12</v>
      </c>
      <c r="F123" s="82">
        <v>17</v>
      </c>
      <c r="G123" s="3">
        <v>10</v>
      </c>
      <c r="H123" s="3">
        <v>10.5</v>
      </c>
      <c r="I123" s="42">
        <v>7</v>
      </c>
      <c r="J123" s="3">
        <f>ROUND(J124,0)</f>
        <v>8</v>
      </c>
      <c r="K123" s="24"/>
      <c r="L123" s="55"/>
      <c r="M123" s="50"/>
    </row>
    <row r="124" spans="1:13" ht="12.75">
      <c r="A124" s="1"/>
      <c r="B124" s="38"/>
      <c r="C124" s="2"/>
      <c r="D124" s="50"/>
      <c r="E124" s="50"/>
      <c r="F124" s="55">
        <f>(F123-E123)*D123/3</f>
        <v>3.3333333333333335</v>
      </c>
      <c r="G124" s="57">
        <f>G123*2</f>
        <v>20</v>
      </c>
      <c r="H124" s="57">
        <f>H123/2.3</f>
        <v>4.565217391304349</v>
      </c>
      <c r="I124" s="50"/>
      <c r="J124" s="55">
        <f>((F123-E123)+(D123*5)+(I123+G123*2+H123))/7</f>
        <v>7.5</v>
      </c>
      <c r="K124" s="24"/>
      <c r="L124" s="57">
        <f>SUM(F124:H124)/3</f>
        <v>9.29951690821256</v>
      </c>
      <c r="M124" s="50"/>
    </row>
    <row r="125" spans="1:13" ht="12.75">
      <c r="A125" s="16"/>
      <c r="B125" s="81" t="s">
        <v>167</v>
      </c>
      <c r="C125" s="2" t="s">
        <v>166</v>
      </c>
      <c r="D125" s="30" t="s">
        <v>182</v>
      </c>
      <c r="E125" s="3" t="s">
        <v>18</v>
      </c>
      <c r="F125" s="3" t="s">
        <v>19</v>
      </c>
      <c r="G125" s="29"/>
      <c r="H125" s="29"/>
      <c r="I125" s="3"/>
      <c r="J125" s="3"/>
      <c r="K125" s="24"/>
      <c r="L125" s="55"/>
      <c r="M125" s="50"/>
    </row>
    <row r="126" spans="1:13" ht="12.75">
      <c r="A126" s="16"/>
      <c r="B126" s="38" t="s">
        <v>88</v>
      </c>
      <c r="C126" s="2"/>
      <c r="D126" s="42">
        <v>2</v>
      </c>
      <c r="E126" s="82">
        <v>18</v>
      </c>
      <c r="F126" s="82">
        <v>35</v>
      </c>
      <c r="G126" s="3">
        <v>4</v>
      </c>
      <c r="H126" s="3">
        <v>30</v>
      </c>
      <c r="I126" s="42">
        <v>9</v>
      </c>
      <c r="J126" s="3">
        <f>ROUND(J127,0)</f>
        <v>10</v>
      </c>
      <c r="K126" s="24"/>
      <c r="L126" s="55"/>
      <c r="M126" s="50"/>
    </row>
    <row r="127" spans="1:13" ht="12.75">
      <c r="A127" s="16"/>
      <c r="B127" s="38"/>
      <c r="C127" s="2"/>
      <c r="D127" s="58"/>
      <c r="E127" s="50"/>
      <c r="F127" s="55">
        <f>(F126-E126)*D126/3</f>
        <v>11.333333333333334</v>
      </c>
      <c r="G127" s="57">
        <f>G126*2</f>
        <v>8</v>
      </c>
      <c r="H127" s="57">
        <f>H126/2.3</f>
        <v>13.043478260869566</v>
      </c>
      <c r="I127" s="50"/>
      <c r="J127" s="57">
        <f>((F126-E126)+(D126*5)+(I126+G126+H126))/7</f>
        <v>10</v>
      </c>
      <c r="K127" s="24"/>
      <c r="L127" s="57">
        <f>SUM(F127:H127)/3</f>
        <v>10.792270531400968</v>
      </c>
      <c r="M127" s="50"/>
    </row>
    <row r="128" spans="1:13" ht="12.75">
      <c r="A128" s="16"/>
      <c r="B128" s="81" t="s">
        <v>164</v>
      </c>
      <c r="C128" s="2" t="s">
        <v>168</v>
      </c>
      <c r="D128" s="30" t="s">
        <v>182</v>
      </c>
      <c r="E128" s="3" t="s">
        <v>18</v>
      </c>
      <c r="F128" s="3" t="s">
        <v>19</v>
      </c>
      <c r="G128" s="29"/>
      <c r="H128" s="29"/>
      <c r="I128" s="29"/>
      <c r="J128" s="29"/>
      <c r="K128" s="24"/>
      <c r="L128" s="55"/>
      <c r="M128" s="50"/>
    </row>
    <row r="129" spans="1:13" ht="12.75">
      <c r="A129" s="16"/>
      <c r="B129" s="38"/>
      <c r="C129" s="2"/>
      <c r="D129" s="42">
        <v>2</v>
      </c>
      <c r="E129" s="82">
        <v>36</v>
      </c>
      <c r="F129" s="82">
        <v>50</v>
      </c>
      <c r="G129" s="3">
        <v>2</v>
      </c>
      <c r="H129" s="3">
        <v>26.5</v>
      </c>
      <c r="I129" s="42">
        <v>9</v>
      </c>
      <c r="J129" s="3">
        <f>ROUND(J130,0)</f>
        <v>9</v>
      </c>
      <c r="K129" s="24"/>
      <c r="L129" s="55"/>
      <c r="M129" s="50"/>
    </row>
    <row r="130" spans="1:13" ht="12.75">
      <c r="A130" s="16"/>
      <c r="B130" s="38"/>
      <c r="C130" s="1"/>
      <c r="D130" s="50"/>
      <c r="E130" s="50"/>
      <c r="F130" s="55">
        <f>(F129-E129)*D129/3</f>
        <v>9.333333333333334</v>
      </c>
      <c r="G130" s="57">
        <f>G129*2</f>
        <v>4</v>
      </c>
      <c r="H130" s="57">
        <f>H129/2.3</f>
        <v>11.521739130434783</v>
      </c>
      <c r="I130" s="55">
        <f>SUM(I123:I129)/3</f>
        <v>8.333333333333334</v>
      </c>
      <c r="J130" s="57">
        <f>((F129-E129)+(D129*5)+(I129+G129+H129))/7</f>
        <v>8.785714285714286</v>
      </c>
      <c r="K130" s="24"/>
      <c r="L130" s="55">
        <f>SUM(E130:H130)/3</f>
        <v>8.285024154589372</v>
      </c>
      <c r="M130" s="50"/>
    </row>
    <row r="131" spans="1:13" ht="12.75">
      <c r="A131" s="16"/>
      <c r="B131" s="81" t="s">
        <v>186</v>
      </c>
      <c r="C131" s="2" t="s">
        <v>168</v>
      </c>
      <c r="D131" s="30" t="s">
        <v>96</v>
      </c>
      <c r="E131" s="3" t="s">
        <v>18</v>
      </c>
      <c r="F131" s="3" t="s">
        <v>19</v>
      </c>
      <c r="G131" s="29"/>
      <c r="H131" s="29"/>
      <c r="I131" s="29"/>
      <c r="J131" s="29"/>
      <c r="K131" s="24"/>
      <c r="L131" s="55"/>
      <c r="M131" s="50"/>
    </row>
    <row r="132" spans="1:13" ht="12.75">
      <c r="A132" s="16"/>
      <c r="B132" s="38"/>
      <c r="C132" s="1"/>
      <c r="D132" s="42">
        <v>2</v>
      </c>
      <c r="E132" s="82">
        <v>5</v>
      </c>
      <c r="F132" s="82">
        <v>11</v>
      </c>
      <c r="G132" s="3">
        <v>5</v>
      </c>
      <c r="H132" s="3">
        <v>12</v>
      </c>
      <c r="I132" s="42">
        <v>10</v>
      </c>
      <c r="J132" s="3">
        <f>ROUND(J133,0)</f>
        <v>6</v>
      </c>
      <c r="K132" s="24"/>
      <c r="L132" s="55"/>
      <c r="M132" s="50"/>
    </row>
    <row r="133" spans="1:13" ht="12.75">
      <c r="A133" s="16"/>
      <c r="B133" s="38"/>
      <c r="C133" s="1"/>
      <c r="D133" s="50"/>
      <c r="E133" s="50"/>
      <c r="F133" s="55">
        <f>(F132-E132)*D132/3</f>
        <v>4</v>
      </c>
      <c r="G133" s="57">
        <f>G132*2</f>
        <v>10</v>
      </c>
      <c r="H133" s="57">
        <f>H132/2.3</f>
        <v>5.217391304347826</v>
      </c>
      <c r="I133" s="50"/>
      <c r="J133" s="57">
        <f>((F132-E132)+(D132*5)+(I132+G132+H132))/7</f>
        <v>6.142857142857143</v>
      </c>
      <c r="K133" s="24"/>
      <c r="L133" s="55">
        <f>SUM(F133:H133)/3</f>
        <v>6.405797101449276</v>
      </c>
      <c r="M133" s="50"/>
    </row>
    <row r="134" spans="1:13" ht="12.75">
      <c r="A134" s="16"/>
      <c r="B134" s="81" t="s">
        <v>170</v>
      </c>
      <c r="C134" s="2" t="s">
        <v>168</v>
      </c>
      <c r="D134" s="30" t="s">
        <v>183</v>
      </c>
      <c r="E134" s="3" t="s">
        <v>18</v>
      </c>
      <c r="F134" s="3" t="s">
        <v>19</v>
      </c>
      <c r="G134" s="29"/>
      <c r="H134" s="29"/>
      <c r="I134" s="29"/>
      <c r="J134" s="29"/>
      <c r="K134" s="24"/>
      <c r="L134" s="55"/>
      <c r="M134" s="50"/>
    </row>
    <row r="135" spans="1:13" ht="12.75">
      <c r="A135" s="16"/>
      <c r="B135" s="1"/>
      <c r="C135" s="1"/>
      <c r="D135" s="42">
        <v>2</v>
      </c>
      <c r="E135" s="82">
        <v>51</v>
      </c>
      <c r="F135" s="82">
        <v>70</v>
      </c>
      <c r="G135" s="3">
        <v>1</v>
      </c>
      <c r="H135" s="3">
        <v>21</v>
      </c>
      <c r="I135" s="42">
        <v>8</v>
      </c>
      <c r="J135" s="3">
        <f>ROUND(J136,0)</f>
        <v>4</v>
      </c>
      <c r="K135" s="24"/>
      <c r="L135" s="55"/>
      <c r="M135" s="50"/>
    </row>
    <row r="136" spans="1:13" ht="12.75">
      <c r="A136" s="16"/>
      <c r="B136" s="50"/>
      <c r="C136" s="50"/>
      <c r="D136" s="50"/>
      <c r="E136" s="50"/>
      <c r="F136" s="50"/>
      <c r="G136" s="55">
        <f>(F135-E135)*D135/3</f>
        <v>12.666666666666666</v>
      </c>
      <c r="H136" s="57">
        <f>G135*2</f>
        <v>2</v>
      </c>
      <c r="I136" s="55">
        <f>H135/2.3</f>
        <v>9.130434782608697</v>
      </c>
      <c r="J136" s="55">
        <f>((F135-E135)+(D135*5)+(I135+G135+H135))/14</f>
        <v>4.214285714285714</v>
      </c>
      <c r="K136" s="32">
        <f>((F135-E135)*D135+(I135+G135+H135))/7</f>
        <v>9.714285714285714</v>
      </c>
      <c r="L136" s="55">
        <f>SUM(G136:I136)/3</f>
        <v>7.932367149758455</v>
      </c>
      <c r="M136" s="50"/>
    </row>
    <row r="137" spans="1:13" ht="12.75">
      <c r="A137" s="16"/>
      <c r="B137" s="1"/>
      <c r="C137" s="1"/>
      <c r="D137" s="1"/>
      <c r="E137" s="1"/>
      <c r="F137" s="1"/>
      <c r="G137" s="1"/>
      <c r="H137" s="1"/>
      <c r="I137" s="1"/>
      <c r="J137" s="1"/>
      <c r="K137" s="24"/>
      <c r="L137" s="55"/>
      <c r="M137" s="50"/>
    </row>
    <row r="138" spans="1:13" ht="12.75">
      <c r="A138" s="16"/>
      <c r="B138" s="1"/>
      <c r="C138" s="1"/>
      <c r="D138" s="1"/>
      <c r="E138" s="1"/>
      <c r="F138" s="1"/>
      <c r="G138" s="1"/>
      <c r="H138" s="1"/>
      <c r="I138" s="1"/>
      <c r="J138" s="1"/>
      <c r="K138" s="24"/>
      <c r="L138" s="50"/>
      <c r="M138" s="50"/>
    </row>
    <row r="139" spans="1:13" ht="12.75">
      <c r="A139" s="16"/>
      <c r="B139" s="1"/>
      <c r="C139" s="1"/>
      <c r="D139" s="1"/>
      <c r="E139" s="1"/>
      <c r="F139" s="1"/>
      <c r="G139" s="1"/>
      <c r="H139" s="1"/>
      <c r="I139" s="1" t="s">
        <v>155</v>
      </c>
      <c r="J139" s="1"/>
      <c r="K139" s="24"/>
      <c r="L139" s="50"/>
      <c r="M139" s="50"/>
    </row>
    <row r="140" spans="1:13" ht="12.75">
      <c r="A140" s="24"/>
      <c r="B140" s="24"/>
      <c r="C140" s="24"/>
      <c r="D140" s="24"/>
      <c r="E140" s="1"/>
      <c r="F140" s="1"/>
      <c r="G140" s="1"/>
      <c r="H140" s="1"/>
      <c r="I140" s="1"/>
      <c r="J140" s="1"/>
      <c r="K140" s="1"/>
      <c r="L140" s="50"/>
      <c r="M140" s="50"/>
    </row>
    <row r="141" spans="1:13" ht="12.75">
      <c r="A141" s="50"/>
      <c r="B141" s="50"/>
      <c r="C141" s="50"/>
      <c r="D141" s="50"/>
      <c r="E141" s="50"/>
      <c r="F141" s="50"/>
      <c r="G141" s="50"/>
      <c r="H141" s="50"/>
      <c r="I141" s="50"/>
      <c r="J141" s="50"/>
      <c r="K141" s="50"/>
      <c r="L141" s="50"/>
      <c r="M141" s="50"/>
    </row>
    <row r="142" spans="1:13" ht="12.75">
      <c r="A142" s="50"/>
      <c r="B142" s="50"/>
      <c r="C142" s="50"/>
      <c r="D142" s="50"/>
      <c r="E142" s="50"/>
      <c r="F142" s="50"/>
      <c r="G142" s="50"/>
      <c r="H142" s="50"/>
      <c r="I142" s="50"/>
      <c r="J142" s="50"/>
      <c r="K142" s="50"/>
      <c r="L142" s="50"/>
      <c r="M142" s="50"/>
    </row>
    <row r="143" spans="1:13" ht="12.75">
      <c r="A143" s="50"/>
      <c r="B143" s="50"/>
      <c r="C143" s="50"/>
      <c r="D143" s="50"/>
      <c r="E143" s="50"/>
      <c r="F143" s="50"/>
      <c r="G143" s="50"/>
      <c r="H143" s="50"/>
      <c r="I143" s="50"/>
      <c r="J143" s="50"/>
      <c r="K143" s="50"/>
      <c r="L143" s="50"/>
      <c r="M143" s="50"/>
    </row>
    <row r="144" spans="1:13" ht="12.75">
      <c r="A144" s="50"/>
      <c r="B144" s="50"/>
      <c r="C144" s="50"/>
      <c r="D144" s="50"/>
      <c r="E144" s="50"/>
      <c r="F144" s="50"/>
      <c r="G144" s="50"/>
      <c r="H144" s="50"/>
      <c r="I144" s="50"/>
      <c r="J144" s="50"/>
      <c r="K144" s="50"/>
      <c r="L144" s="50"/>
      <c r="M144" s="50"/>
    </row>
    <row r="145" spans="1:13" ht="12.75">
      <c r="A145" s="50"/>
      <c r="B145" s="50"/>
      <c r="C145" s="50"/>
      <c r="D145" s="50"/>
      <c r="E145" s="50"/>
      <c r="F145" s="50"/>
      <c r="G145" s="50"/>
      <c r="H145" s="50"/>
      <c r="I145" s="50"/>
      <c r="J145" s="50"/>
      <c r="K145" s="50"/>
      <c r="L145" s="50"/>
      <c r="M145" s="50"/>
    </row>
  </sheetData>
  <hyperlinks>
    <hyperlink ref="E74" r:id="rId1" display="http://www.quicksummer.com/exceldoc/Projections_in_504/resonaceactivityprojectionsJune.xls"/>
    <hyperlink ref="E75" r:id="rId2" display="http://www.quicksummer.com/exceldoc/Projections_in_504/resonacecashflowprojectionsJune.xls"/>
  </hyperlinks>
  <printOptions/>
  <pageMargins left="0.75" right="0.75" top="1" bottom="1" header="0.5" footer="0.5"/>
  <pageSetup orientation="portrait" paperSize="9"/>
  <legacyDrawing r:id="rId4"/>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Jaanus Silla</dc:creator>
  <cp:keywords/>
  <dc:description/>
  <cp:lastModifiedBy>Jaanus Silla</cp:lastModifiedBy>
  <dcterms:created xsi:type="dcterms:W3CDTF">2003-08-15T09:47:24Z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